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firstSheet="25" activeTab="26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1. melléklet" sheetId="5" r:id="rId5"/>
    <sheet name="2. melléklet" sheetId="6" r:id="rId6"/>
    <sheet name="3. melléklet" sheetId="7" r:id="rId7"/>
    <sheet name="4. melléklet" sheetId="8" r:id="rId8"/>
    <sheet name="5. melléklet" sheetId="9" r:id="rId9"/>
    <sheet name="6. 7.8. M  " sheetId="10" r:id="rId10"/>
    <sheet name="9. melléklet" sheetId="11" r:id="rId11"/>
    <sheet name="11. melléklet" sheetId="12" r:id="rId12"/>
    <sheet name="12. melléklet" sheetId="13" r:id="rId13"/>
    <sheet name="13.1. melléklet" sheetId="14" r:id="rId14"/>
    <sheet name="14. melléklet" sheetId="15" r:id="rId15"/>
    <sheet name="15. Óvoda" sheetId="16" r:id="rId16"/>
    <sheet name="16. Műv. ház" sheetId="17" r:id="rId17"/>
    <sheet name="17. Hivatal" sheetId="18" r:id="rId18"/>
    <sheet name="18. VÜKI" sheetId="19" r:id="rId19"/>
    <sheet name="19 önkormányzat" sheetId="20" r:id="rId20"/>
    <sheet name="20. melléklet" sheetId="21" r:id="rId21"/>
    <sheet name="20.1. melléklet" sheetId="22" r:id="rId22"/>
    <sheet name="20.2.melléklet" sheetId="23" r:id="rId23"/>
    <sheet name="20.3. melléklet" sheetId="24" r:id="rId24"/>
    <sheet name="20.4.mellékelt" sheetId="25" r:id="rId25"/>
    <sheet name="20.5.melléklet" sheetId="26" r:id="rId26"/>
    <sheet name="21. céltartalék" sheetId="27" r:id="rId27"/>
    <sheet name="21 kötelező feladat" sheetId="28" state="hidden" r:id="rId28"/>
    <sheet name="ÖNK ÖSSZESITŐ" sheetId="29" r:id="rId29"/>
    <sheet name="Munkalap27" sheetId="30" state="hidden" r:id="rId30"/>
  </sheets>
  <definedNames>
    <definedName name="Excel_BuiltIn__FilterDatabase" localSheetId="20">'20. melléklet'!$A$9:$E$9</definedName>
    <definedName name="Excel_BuiltIn__FilterDatabase" localSheetId="27">NA()</definedName>
    <definedName name="Excel_BuiltIn__FilterDatabase" localSheetId="9">'6. 7.8. M  '!$A$13:$I$36</definedName>
    <definedName name="Excel_BuiltIn__FilterDatabase" localSheetId="28">'ÖNK ÖSSZESITŐ'!$A$48:$D$84</definedName>
    <definedName name="Excel_BuiltIn_Print_Area" localSheetId="4">'1. melléklet'!$A$1:$H$57</definedName>
    <definedName name="Excel_BuiltIn_Print_Area" localSheetId="15">'15. Óvoda'!$A$1:$D$69</definedName>
    <definedName name="Excel_BuiltIn_Print_Area" localSheetId="16">'16. Műv. ház'!$A$1:$D$47</definedName>
    <definedName name="Excel_BuiltIn_Print_Area" localSheetId="17">'17. Hivatal'!$A$1:$D$46</definedName>
    <definedName name="Excel_BuiltIn_Print_Area" localSheetId="18">'18. VÜKI'!$A$1:$D$89</definedName>
    <definedName name="Excel_BuiltIn_Print_Area" localSheetId="19">'19 önkormányzat'!$A$1:$F$134</definedName>
    <definedName name="Excel_BuiltIn_Print_Area" localSheetId="0">'2'!$A$1:$A$21</definedName>
    <definedName name="Excel_BuiltIn_Print_Area" localSheetId="20">'20. melléklet'!$A$1:$E$52</definedName>
    <definedName name="Excel_BuiltIn_Print_Area" localSheetId="8">'5. melléklet'!$A$1:$E$209</definedName>
    <definedName name="Excel_BuiltIn_Print_Area" localSheetId="28">'ÖNK ÖSSZESITŐ'!$A$1:$D$104</definedName>
    <definedName name="_xlnm.Print_Titles" localSheetId="27">'21 kötelező feladat'!$1:$3</definedName>
    <definedName name="_xlnm.Print_Titles" localSheetId="8">'5. melléklet'!$5:$11</definedName>
    <definedName name="_xlnm.Print_Titles" localSheetId="28">'ÖNK ÖSSZESITŐ'!$1:$8</definedName>
    <definedName name="_xlnm.Print_Area" localSheetId="4">'1. melléklet'!$A$1:$K$63</definedName>
    <definedName name="_xlnm.Print_Area" localSheetId="11">'11. melléklet'!$A$1:$N$36</definedName>
    <definedName name="_xlnm.Print_Area" localSheetId="1">'12'!$A$1:$B$11</definedName>
    <definedName name="_xlnm.Print_Area" localSheetId="12">'12. melléklet'!$A$1:$G$72</definedName>
    <definedName name="_xlnm.Print_Area" localSheetId="13">'13.1. melléklet'!$A$1:$I$14</definedName>
    <definedName name="_xlnm.Print_Area" localSheetId="2">'14adóss'!$A$1:$G$30</definedName>
    <definedName name="_xlnm.Print_Area" localSheetId="3">'15 3éves'!$A$1:$E$55</definedName>
    <definedName name="_xlnm.Print_Area" localSheetId="15">'15. Óvoda'!$A$1:$K$70</definedName>
    <definedName name="_xlnm.Print_Area" localSheetId="16">'16. Műv. ház'!$A$1:$K$48</definedName>
    <definedName name="_xlnm.Print_Area" localSheetId="17">'17. Hivatal'!$A$1:$K$47</definedName>
    <definedName name="_xlnm.Print_Area" localSheetId="18">'18. VÜKI'!$A$1:$K$90</definedName>
    <definedName name="_xlnm.Print_Area" localSheetId="19">'19 önkormányzat'!$A$1:$K$133</definedName>
    <definedName name="_xlnm.Print_Area" localSheetId="0">'2'!$A$1:$D$21</definedName>
    <definedName name="_xlnm.Print_Area" localSheetId="5">'2. melléklet'!$A$1:$J$49</definedName>
    <definedName name="_xlnm.Print_Area" localSheetId="20">'20. melléklet'!$A$1:$Y$52</definedName>
    <definedName name="_xlnm.Print_Area" localSheetId="27">'21 kötelező feladat'!$A$1:$E$23</definedName>
    <definedName name="_xlnm.Print_Area" localSheetId="6">'3. melléklet'!$A$1:$J$62</definedName>
    <definedName name="_xlnm.Print_Area" localSheetId="7">'4. melléklet'!$A$1:$J$115</definedName>
    <definedName name="_xlnm.Print_Area" localSheetId="8">'5. melléklet'!$A$1:$J$212</definedName>
    <definedName name="_xlnm.Print_Area" localSheetId="9">'6. 7.8. M  '!$A$1:$J$72</definedName>
    <definedName name="_xlnm.Print_Area" localSheetId="28">'ÖNK ÖSSZESITŐ'!$A$1:$K$101</definedName>
  </definedNames>
  <calcPr fullCalcOnLoad="1"/>
</workbook>
</file>

<file path=xl/sharedStrings.xml><?xml version="1.0" encoding="utf-8"?>
<sst xmlns="http://schemas.openxmlformats.org/spreadsheetml/2006/main" count="3493" uniqueCount="1169">
  <si>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</si>
  <si>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</si>
  <si>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</si>
  <si>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</si>
  <si>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</si>
  <si>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</si>
  <si>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</si>
  <si>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</si>
  <si>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</si>
  <si>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</si>
  <si>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</si>
  <si>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</si>
  <si>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</si>
  <si>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</si>
  <si>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</si>
  <si>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</si>
  <si>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</si>
  <si>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</si>
  <si>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</si>
  <si>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</si>
  <si>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</si>
  <si>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</si>
  <si>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</si>
  <si>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</si>
  <si>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</si>
  <si>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</si>
  <si>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</si>
  <si>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</si>
  <si>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</si>
  <si>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</si>
  <si>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</si>
  <si>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</si>
  <si>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</si>
  <si>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</si>
  <si>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</si>
  <si>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</si>
  <si>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</si>
  <si>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</si>
  <si>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</si>
  <si>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</si>
  <si>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</si>
  <si>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</si>
  <si>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</si>
  <si>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</si>
  <si>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</si>
  <si>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</si>
  <si>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</si>
  <si>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</si>
  <si>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</si>
  <si>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</si>
  <si>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</si>
  <si>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</si>
  <si>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</si>
  <si>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</si>
  <si>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</si>
  <si>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</si>
  <si>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</si>
  <si>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</si>
  <si>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</si>
  <si>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</si>
  <si>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</si>
  <si>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</si>
  <si>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</si>
  <si>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</si>
  <si>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</si>
  <si>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</si>
  <si>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</si>
  <si>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</si>
  <si>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</si>
  <si>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</si>
  <si>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</si>
  <si>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</si>
  <si>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</si>
  <si>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</si>
  <si>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</si>
  <si>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</si>
  <si>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</si>
  <si>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</si>
  <si>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</si>
  <si>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</si>
  <si>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</si>
  <si>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</si>
  <si>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</si>
  <si>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</si>
  <si>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</si>
  <si>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</si>
  <si>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</si>
  <si>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</si>
  <si>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</si>
  <si>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</si>
  <si>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</si>
  <si>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</si>
  <si>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</si>
  <si>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</si>
  <si>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</si>
  <si>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</si>
  <si>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</si>
  <si>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</si>
  <si>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</si>
  <si>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</si>
  <si>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</si>
  <si>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</si>
  <si>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</si>
  <si>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</si>
  <si>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</si>
  <si>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</si>
  <si>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</si>
  <si>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</si>
  <si>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</si>
  <si>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</si>
  <si>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</si>
  <si>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</si>
  <si>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</si>
  <si>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</si>
  <si>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</si>
  <si>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</si>
  <si>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</si>
  <si>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</si>
  <si>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</si>
  <si>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</si>
  <si>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</si>
  <si>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</si>
  <si>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</si>
  <si>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</si>
  <si>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</si>
  <si>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</si>
  <si>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</si>
  <si>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</si>
  <si>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</si>
  <si>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</si>
  <si>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</si>
  <si>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</si>
  <si>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</si>
  <si>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</si>
  <si>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</si>
  <si>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</si>
  <si>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</si>
  <si>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</si>
  <si>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</si>
  <si>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</si>
  <si>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</si>
  <si>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</si>
  <si>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</si>
  <si>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</si>
  <si>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</si>
  <si>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</si>
  <si>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</si>
  <si>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</si>
  <si>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</si>
  <si>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</si>
  <si>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</si>
  <si>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</si>
  <si>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</si>
  <si>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 melléklet</t>
  </si>
  <si>
    <t xml:space="preserve"> bevételi és kiadási előirányzatainak főösszesítője</t>
  </si>
  <si>
    <t>Adatok  Ft-ban</t>
  </si>
  <si>
    <t>Sor szám</t>
  </si>
  <si>
    <t>Bevételek</t>
  </si>
  <si>
    <t>2016. évi előirányzat</t>
  </si>
  <si>
    <t>2017. évi előirányzat</t>
  </si>
  <si>
    <t>2016. évi %-ában</t>
  </si>
  <si>
    <t>A</t>
  </si>
  <si>
    <t>B</t>
  </si>
  <si>
    <t>C</t>
  </si>
  <si>
    <t>D</t>
  </si>
  <si>
    <t>Önkormányzatok működési támogatásai</t>
  </si>
  <si>
    <t>Egyéb működési célú támogatások bevételei államháztartáson belülről</t>
  </si>
  <si>
    <t>I.</t>
  </si>
  <si>
    <t>Működési célú támogatások államháztartáson belülről</t>
  </si>
  <si>
    <t>II.</t>
  </si>
  <si>
    <t>Felhalmozási célú támogatások államháztartáson belülről</t>
  </si>
  <si>
    <t>Vagyoni típusú adók( kommunális adó)</t>
  </si>
  <si>
    <t>Értékesítési és forgalmi adók ( iparűzési adó)</t>
  </si>
  <si>
    <t>Gépjárműadók</t>
  </si>
  <si>
    <t>Egyéb áruhasználati és szolgálati adók (talajterhelési díj)</t>
  </si>
  <si>
    <t>Egyéb közhatalmi bevételek</t>
  </si>
  <si>
    <t>III.</t>
  </si>
  <si>
    <t>Közhatalmi bevételek</t>
  </si>
  <si>
    <t>Szolgáltatások ellenértékei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</si>
  <si>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</si>
  <si>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</si>
  <si>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</si>
  <si>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</si>
  <si>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</si>
  <si>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pénzügyi műveletek bevételei</t>
  </si>
  <si>
    <t>Egyéb működési bevételek</t>
  </si>
  <si>
    <t>IV.</t>
  </si>
  <si>
    <t>V.</t>
  </si>
  <si>
    <t>VI.</t>
  </si>
  <si>
    <t>Működési célú átvett pénzeszközök</t>
  </si>
  <si>
    <t>VII.</t>
  </si>
  <si>
    <t>Felhalmozási célú pénzeszközök</t>
  </si>
  <si>
    <t>Költségvetési bevételek összesen</t>
  </si>
  <si>
    <t>VIII.</t>
  </si>
  <si>
    <t>Hitel-, kölcsön felvétel pénzügyi vállalkozástól</t>
  </si>
  <si>
    <t>IX.</t>
  </si>
  <si>
    <t xml:space="preserve"> Költségvetési maradvány</t>
  </si>
  <si>
    <t>Ebből felhalmozási célú</t>
  </si>
  <si>
    <t xml:space="preserve">         működési célú</t>
  </si>
  <si>
    <t>X.</t>
  </si>
  <si>
    <t xml:space="preserve">Államháztartáson belüli megelőlegezés  </t>
  </si>
  <si>
    <t>Finanszírozási bevételek összesen</t>
  </si>
  <si>
    <t>BEVÉTELEK ÖSSZESEN</t>
  </si>
  <si>
    <t>Munkaadókat terhelő járulékok és szociális hozzájárulási adó</t>
  </si>
  <si>
    <t xml:space="preserve">III. </t>
  </si>
  <si>
    <t>Ellátottak pénzbeli juttatásai</t>
  </si>
  <si>
    <t>Egyéb működési célú kiadások</t>
  </si>
  <si>
    <t>Egyéb felhalmozási célú kiadások</t>
  </si>
  <si>
    <t>Költségvetési kiadások</t>
  </si>
  <si>
    <t>48.</t>
  </si>
  <si>
    <t>Hitel kölcsön törlesztése pénzügyi vállalkozásnak</t>
  </si>
  <si>
    <t>49.</t>
  </si>
  <si>
    <t>51.</t>
  </si>
  <si>
    <t>Finanszírozási kiadások</t>
  </si>
  <si>
    <t>52.</t>
  </si>
  <si>
    <t>KIADÁSOK ÖSSZESEN</t>
  </si>
  <si>
    <t xml:space="preserve">2.melléklet </t>
  </si>
  <si>
    <t>Herend Város Önkormányzat 2017. évi működési és felhalmozási mérlege</t>
  </si>
  <si>
    <t xml:space="preserve">                                                                                                                                                                 </t>
  </si>
  <si>
    <t>Adatok Ft-ban</t>
  </si>
  <si>
    <t>MEGNEVEZÉS</t>
  </si>
  <si>
    <t>Működési bevételek összesen</t>
  </si>
  <si>
    <t>Tartalékok</t>
  </si>
  <si>
    <t>Működési kiadások összesen</t>
  </si>
  <si>
    <t>Hitel kölcsön felvétel pénzügyi vállalkozástól</t>
  </si>
  <si>
    <t>Maradvány igénybevétele</t>
  </si>
  <si>
    <t>Államháztartáson belüli megelőlegezés</t>
  </si>
  <si>
    <t>Finanszírozási bevétel</t>
  </si>
  <si>
    <t>Államháztartáson belüli megelőlegezések</t>
  </si>
  <si>
    <t xml:space="preserve">Felhalmozási bevételek  </t>
  </si>
  <si>
    <t>Felhalmozási célú átvett pénzeszközök</t>
  </si>
  <si>
    <t>Felhalmozási bevételek összesen</t>
  </si>
  <si>
    <t>Felhalmozási kiadások összesen</t>
  </si>
  <si>
    <t xml:space="preserve"> BEVÉTELEK ÖSSZESEN</t>
  </si>
  <si>
    <t xml:space="preserve">3.melléklet </t>
  </si>
  <si>
    <t>Herend Város Önkormányzat 2017. évi bevételi előirányzatai forrásonként</t>
  </si>
  <si>
    <t>XI.</t>
  </si>
  <si>
    <t xml:space="preserve">4.melléklet </t>
  </si>
  <si>
    <t>Herend Város Önkormányzat önállóan működő intézményei bevétele</t>
  </si>
  <si>
    <t>2017.</t>
  </si>
  <si>
    <t>Önkormányzat</t>
  </si>
  <si>
    <t xml:space="preserve">2016.évi előirányzat   </t>
  </si>
  <si>
    <t>Működési bevétel</t>
  </si>
  <si>
    <t>Előző évi költségvetési maradvány</t>
  </si>
  <si>
    <t>Önkormányzat összesen</t>
  </si>
  <si>
    <t>Polgármesteri Hivatal</t>
  </si>
  <si>
    <t>Polgármesteri Hivatal összesen</t>
  </si>
  <si>
    <t>Herendi Hétszínvilág Óvoda és Bölcsőde</t>
  </si>
  <si>
    <t>Óvoda bevétele összesen</t>
  </si>
  <si>
    <t>Művelődési Ház és Könyvtár</t>
  </si>
  <si>
    <t>Művelődési ház bevétele összesen</t>
  </si>
  <si>
    <t>Herendi Városüzemeltetési Közszolgáltató Intézmény</t>
  </si>
  <si>
    <t>Herendi Városüzemeltetési Közszolgáltató Intézmény bevétele összesen</t>
  </si>
  <si>
    <t>ÖNKORMÁNYZAT ÖSSZESEN</t>
  </si>
  <si>
    <t xml:space="preserve">5.melléklet </t>
  </si>
  <si>
    <t>Herend Város Önkormányzat és költségvetési szervei 2017. évi működési és felhalmozási  kiadási előirányzatai  kormányzati funkciónként</t>
  </si>
  <si>
    <t>Szakfeladat</t>
  </si>
  <si>
    <t>2017. Engedélyezett létszám</t>
  </si>
  <si>
    <t>2017.évi előirányzat</t>
  </si>
  <si>
    <t>Herend Város Önkkormányzata</t>
  </si>
  <si>
    <t>Televízió-műsor szolg. És tám.</t>
  </si>
  <si>
    <t>Ebből: Dologi kiadás</t>
  </si>
  <si>
    <t>Lakóingatlan hasznosítás</t>
  </si>
  <si>
    <t xml:space="preserve">          Felhalmozási kiadás</t>
  </si>
  <si>
    <t>Ebből: Személyi juttatás</t>
  </si>
  <si>
    <t xml:space="preserve">          Járulékok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</si>
  <si>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</si>
  <si>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</si>
  <si>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</si>
  <si>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</si>
  <si>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</si>
  <si>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</si>
  <si>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</si>
  <si>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</si>
  <si>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Iskola eü.Egyéb egészségügyi ellátás</t>
  </si>
  <si>
    <t>Máshova nem sorolt tevékenység</t>
  </si>
  <si>
    <t>Nonprofit szervezetek támogatása</t>
  </si>
  <si>
    <t>Közvetett támogatások</t>
  </si>
  <si>
    <t>Önkormányzat által folyósított ellátások</t>
  </si>
  <si>
    <t>50.</t>
  </si>
  <si>
    <t>Önkormányzati ig tevékenység</t>
  </si>
  <si>
    <t>53.</t>
  </si>
  <si>
    <t>54.</t>
  </si>
  <si>
    <t>55.</t>
  </si>
  <si>
    <t>56.</t>
  </si>
  <si>
    <t>Beruházás</t>
  </si>
  <si>
    <t>57.</t>
  </si>
  <si>
    <t>Államháztartáson belüli megelőlegezés visszafizetése</t>
  </si>
  <si>
    <t>58.</t>
  </si>
  <si>
    <t>Hiteltörlesztés</t>
  </si>
  <si>
    <t>59.</t>
  </si>
  <si>
    <t>Lekötött bankbetétek</t>
  </si>
  <si>
    <t>60.</t>
  </si>
  <si>
    <t>Elvonások,befizetések</t>
  </si>
  <si>
    <t>61.</t>
  </si>
  <si>
    <t>Közfoglalkoztatás hosszabb időtartamban</t>
  </si>
  <si>
    <t>62.</t>
  </si>
  <si>
    <t>63.</t>
  </si>
  <si>
    <t>64.</t>
  </si>
  <si>
    <t>65.</t>
  </si>
  <si>
    <t>Város és község gazdálkodás</t>
  </si>
  <si>
    <t>66.</t>
  </si>
  <si>
    <t>67.</t>
  </si>
  <si>
    <t>68.</t>
  </si>
  <si>
    <t>69.</t>
  </si>
  <si>
    <t>70.</t>
  </si>
  <si>
    <t>71.</t>
  </si>
  <si>
    <t>72.</t>
  </si>
  <si>
    <t>Önkormányzatok elszámolásai költségvetési szerveikkel</t>
  </si>
  <si>
    <t>73.</t>
  </si>
  <si>
    <t xml:space="preserve">        Intézményfinanszírozás</t>
  </si>
  <si>
    <t>74.</t>
  </si>
  <si>
    <t>75.</t>
  </si>
  <si>
    <t>76.</t>
  </si>
  <si>
    <t>77.</t>
  </si>
  <si>
    <t>78.</t>
  </si>
  <si>
    <t>79.</t>
  </si>
  <si>
    <t xml:space="preserve">         Önkormányzat által folyósított ellátások</t>
  </si>
  <si>
    <t>80.</t>
  </si>
  <si>
    <t xml:space="preserve">         Felhalmozási kiadás</t>
  </si>
  <si>
    <t>81.</t>
  </si>
  <si>
    <t xml:space="preserve">         Finanszírozási műveletek</t>
  </si>
  <si>
    <t>82.</t>
  </si>
  <si>
    <t>83.</t>
  </si>
  <si>
    <t>84.</t>
  </si>
  <si>
    <t>85.</t>
  </si>
  <si>
    <t>86.</t>
  </si>
  <si>
    <t>Herendi Polgármesteri Hivatal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</si>
  <si>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</si>
  <si>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</si>
  <si>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</si>
  <si>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</si>
  <si>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</si>
  <si>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</si>
  <si>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</si>
  <si>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</si>
  <si>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</si>
  <si>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</si>
  <si>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</si>
  <si>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</si>
  <si>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</si>
  <si>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Óvodai intézményi étkeztetés</t>
  </si>
  <si>
    <t>102.</t>
  </si>
  <si>
    <t>103.</t>
  </si>
  <si>
    <t>104.</t>
  </si>
  <si>
    <t>105.</t>
  </si>
  <si>
    <t>Étkeztetés a bölcsödében</t>
  </si>
  <si>
    <t>106.</t>
  </si>
  <si>
    <t>107.</t>
  </si>
  <si>
    <t>108.</t>
  </si>
  <si>
    <t>109.</t>
  </si>
  <si>
    <t>Óvodai nevelés, iskola előkészítés</t>
  </si>
  <si>
    <t>110.</t>
  </si>
  <si>
    <t>111.</t>
  </si>
  <si>
    <t>112.</t>
  </si>
  <si>
    <t>113.</t>
  </si>
  <si>
    <t>114.</t>
  </si>
  <si>
    <t>Nemzetiségi óvodai nevelés</t>
  </si>
  <si>
    <t>115.</t>
  </si>
  <si>
    <t>116.</t>
  </si>
  <si>
    <t>117.</t>
  </si>
  <si>
    <t>118.</t>
  </si>
  <si>
    <t>Bölcsődei ellátás</t>
  </si>
  <si>
    <t>119.</t>
  </si>
  <si>
    <t>120.</t>
  </si>
  <si>
    <t>121.</t>
  </si>
  <si>
    <t>122.</t>
  </si>
  <si>
    <t>123.</t>
  </si>
  <si>
    <t>Óvodai ellátás működtetés</t>
  </si>
  <si>
    <t>124.</t>
  </si>
  <si>
    <t>125.</t>
  </si>
  <si>
    <t xml:space="preserve">           Járulékok</t>
  </si>
  <si>
    <t>126.</t>
  </si>
  <si>
    <t xml:space="preserve">           Dologi</t>
  </si>
  <si>
    <t>127.</t>
  </si>
  <si>
    <t>128.</t>
  </si>
  <si>
    <t>Óvodai nevelés összesen</t>
  </si>
  <si>
    <t>129.</t>
  </si>
  <si>
    <t>130.</t>
  </si>
  <si>
    <t>131.</t>
  </si>
  <si>
    <t>132.</t>
  </si>
  <si>
    <t>133.</t>
  </si>
  <si>
    <t>134.</t>
  </si>
  <si>
    <t>135.</t>
  </si>
  <si>
    <t>Közművelődési intézmény működtetése</t>
  </si>
  <si>
    <t>136.</t>
  </si>
  <si>
    <t>137.</t>
  </si>
  <si>
    <t>138.</t>
  </si>
  <si>
    <t>139.</t>
  </si>
  <si>
    <t>140.</t>
  </si>
  <si>
    <t>Könyvtár</t>
  </si>
  <si>
    <t>141.</t>
  </si>
  <si>
    <t>142.</t>
  </si>
  <si>
    <t>143.</t>
  </si>
  <si>
    <t>144.</t>
  </si>
  <si>
    <t>145.</t>
  </si>
  <si>
    <t>146.</t>
  </si>
  <si>
    <t>147.</t>
  </si>
  <si>
    <t>150.</t>
  </si>
  <si>
    <t>Gyermekétkeztetés köznevelési intézményben</t>
  </si>
  <si>
    <t>151.</t>
  </si>
  <si>
    <t>152.</t>
  </si>
  <si>
    <t>153.</t>
  </si>
  <si>
    <t>154.</t>
  </si>
  <si>
    <t>Munkahelyi étkezés köznevelési intézményben</t>
  </si>
  <si>
    <t>155.</t>
  </si>
  <si>
    <t>156.</t>
  </si>
  <si>
    <t>157.</t>
  </si>
  <si>
    <t>158.</t>
  </si>
  <si>
    <t>Intézményen kívüli gyermekétkeztetés</t>
  </si>
  <si>
    <t>159.</t>
  </si>
  <si>
    <t>160.</t>
  </si>
  <si>
    <t>161.</t>
  </si>
  <si>
    <t>162.</t>
  </si>
  <si>
    <t>163.</t>
  </si>
  <si>
    <t>Közutak,hidak üzemeltetése</t>
  </si>
  <si>
    <t>164.</t>
  </si>
  <si>
    <t>165.</t>
  </si>
  <si>
    <t>166.</t>
  </si>
  <si>
    <t>Köztemető fenntartás</t>
  </si>
  <si>
    <t>167.</t>
  </si>
  <si>
    <t>168.</t>
  </si>
  <si>
    <t>169.</t>
  </si>
  <si>
    <t>170.</t>
  </si>
  <si>
    <t>171.</t>
  </si>
  <si>
    <t>172.</t>
  </si>
  <si>
    <t>177.</t>
  </si>
  <si>
    <t>Állategészségügy</t>
  </si>
  <si>
    <t>178.</t>
  </si>
  <si>
    <t>179.</t>
  </si>
  <si>
    <t>180.</t>
  </si>
  <si>
    <t>181.</t>
  </si>
  <si>
    <t>182.</t>
  </si>
  <si>
    <t>183.</t>
  </si>
  <si>
    <t>184.</t>
  </si>
  <si>
    <t>Zöldterület fenntartása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</si>
  <si>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</si>
  <si>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</si>
  <si>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</si>
  <si>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</si>
  <si>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</si>
  <si>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</si>
  <si>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</si>
  <si>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</si>
  <si>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</si>
  <si>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</si>
  <si>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</si>
  <si>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ÖNKORMÁNYZAT ÉS INTÉZMÉNYEI ÖSSZESEN</t>
  </si>
  <si>
    <t>196.</t>
  </si>
  <si>
    <t>197.</t>
  </si>
  <si>
    <t>198.</t>
  </si>
  <si>
    <t>199.</t>
  </si>
  <si>
    <t>200.</t>
  </si>
  <si>
    <t xml:space="preserve">          Önkormányzat által folyósított ellátások</t>
  </si>
  <si>
    <t>201.</t>
  </si>
  <si>
    <t>202.</t>
  </si>
  <si>
    <t xml:space="preserve">          Finanszírozási kiadások</t>
  </si>
  <si>
    <t xml:space="preserve">          Tartalék</t>
  </si>
  <si>
    <t xml:space="preserve">6.melléklet </t>
  </si>
  <si>
    <t>Herend Város Önkormányzat 2017.évi felhalmozási kiadások előirányzata feladatonként</t>
  </si>
  <si>
    <t>Beruházás megnevezés</t>
  </si>
  <si>
    <t xml:space="preserve">A </t>
  </si>
  <si>
    <t>Felújítás</t>
  </si>
  <si>
    <t>Művelődési ház szennyvízelvezető r. és vészkijárat felújítás</t>
  </si>
  <si>
    <t>Herendi Hétszínvilág Óvoda és Bölcsőde villamos főelosztó kiépítése, szabványosítás</t>
  </si>
  <si>
    <t>Egyéb gép, berendezés városüzemeltetés</t>
  </si>
  <si>
    <t>Egyéb gép berendezés óvoda</t>
  </si>
  <si>
    <t xml:space="preserve">Egyéb gép, berendezés önkormányzat </t>
  </si>
  <si>
    <t>Eon Kossuth utca villanyoszlop cseréje</t>
  </si>
  <si>
    <t>Földterület vásárlása</t>
  </si>
  <si>
    <t>Közvilágítás kialakítása B lakóövezet</t>
  </si>
  <si>
    <t>7.melléklet</t>
  </si>
  <si>
    <t xml:space="preserve">Herend Város Önkormányzat 2017. évi pénzeszköz átadásainak és egyéb támogatásainak előirányzata 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</si>
  <si>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</si>
  <si>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</si>
  <si>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</si>
  <si>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</si>
  <si>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</si>
  <si>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Német Nemzetiségi önkormányzatnak átadás</t>
  </si>
  <si>
    <t>Működési célú pénzeszköz átadás ÁH-on kiv.</t>
  </si>
  <si>
    <t>8.melléklet</t>
  </si>
  <si>
    <t>2016. évi</t>
  </si>
  <si>
    <t>2017. évi</t>
  </si>
  <si>
    <t>Talajterhelési díj szociális alapon történő mérséklése</t>
  </si>
  <si>
    <t>9.melléklet</t>
  </si>
  <si>
    <t>2017. évi működési és felhalmozási bevételek mérlegszerűen</t>
  </si>
  <si>
    <t>Működési kiadások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</si>
  <si>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</si>
  <si>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</si>
  <si>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</si>
  <si>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</si>
  <si>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</si>
  <si>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</si>
  <si>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</si>
  <si>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</si>
  <si>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</si>
  <si>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Dologi kiadás</t>
  </si>
  <si>
    <t xml:space="preserve">Államháztartáson belüli megelőlegezés </t>
  </si>
  <si>
    <t>Ellátottak juttatásai</t>
  </si>
  <si>
    <t>Költségvetési támogatásból intézményeknek</t>
  </si>
  <si>
    <t>Önkormányzati támogatás</t>
  </si>
  <si>
    <t>Önkormányztai támogatás felhalmozási célú</t>
  </si>
  <si>
    <t>Felhalmozás célú hitel</t>
  </si>
  <si>
    <t>Kiadások mindösszesen:</t>
  </si>
  <si>
    <t>Bevételek mindösszesen:</t>
  </si>
  <si>
    <t>E</t>
  </si>
  <si>
    <t>2017. évi előirányzat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</si>
  <si>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</si>
  <si>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</si>
  <si>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</si>
  <si>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</si>
  <si>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</si>
  <si>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</si>
  <si>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</si>
  <si>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</si>
  <si>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</si>
  <si>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</si>
  <si>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</si>
  <si>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</si>
  <si>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</si>
  <si>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Összes bevétel</t>
  </si>
  <si>
    <t>Elvonások, befizetések</t>
  </si>
  <si>
    <t>Összes kiadás</t>
  </si>
  <si>
    <t>Havi egyenleg</t>
  </si>
  <si>
    <t>Halmozott egyenleg</t>
  </si>
  <si>
    <t>F</t>
  </si>
  <si>
    <t>2017-2020 évre tervezett bevételei és kiadásai</t>
  </si>
  <si>
    <t>2017. év</t>
  </si>
  <si>
    <t>2018. év</t>
  </si>
  <si>
    <t>2019. év</t>
  </si>
  <si>
    <t>2020. év</t>
  </si>
  <si>
    <t>Herendi Hétszínvilág Óvoda és Bölcsőde költségvetése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</si>
  <si>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</si>
  <si>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</si>
  <si>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</si>
  <si>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</si>
  <si>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</si>
  <si>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 xml:space="preserve">Létszám </t>
  </si>
  <si>
    <t>Étkeztetés bölcsődében</t>
  </si>
  <si>
    <t>Munkahelyi étkeztetés</t>
  </si>
  <si>
    <t>Sajátos nevelési ig.</t>
  </si>
  <si>
    <t>Ebből: személyi juttatás</t>
  </si>
  <si>
    <t>Járulékok</t>
  </si>
  <si>
    <t>Óvodai kiadás összesen</t>
  </si>
  <si>
    <t>16. melléklet</t>
  </si>
  <si>
    <t xml:space="preserve">Intézmény finanszírozás </t>
  </si>
  <si>
    <t>Finanszírozási bevételek</t>
  </si>
  <si>
    <t>Létszám</t>
  </si>
  <si>
    <t>Egyéb kiadói tevékenység</t>
  </si>
  <si>
    <t>Helyi, térségi közösségi tér biztosítása, működtetése</t>
  </si>
  <si>
    <t>17. melléklet</t>
  </si>
  <si>
    <t>Herendi Polgármesteri Hivatal  költségvetése</t>
  </si>
  <si>
    <t>előző évi költségvetési maradvány</t>
  </si>
  <si>
    <t xml:space="preserve">         Önkormányzati forrás</t>
  </si>
  <si>
    <t xml:space="preserve">B    </t>
  </si>
  <si>
    <t>Adó vám és jővedéki igazgatás</t>
  </si>
  <si>
    <t>Országos népszavazás</t>
  </si>
  <si>
    <t>18. melléklet</t>
  </si>
  <si>
    <t>Kormányzati funkció</t>
  </si>
  <si>
    <t>Munkahelyi étkeztetés köznevelési intézményben</t>
  </si>
  <si>
    <t>Közutak, hidak üzemeltetése</t>
  </si>
  <si>
    <t>Köztemető fennt. Üzemeltetés</t>
  </si>
  <si>
    <t>Egyéb város és k gazd.</t>
  </si>
  <si>
    <t>Ebből Dologi kiadás</t>
  </si>
  <si>
    <t>Herendi Városüzemeltetési Közszolgáltató Intézmény összesen</t>
  </si>
  <si>
    <t>19. melléklet</t>
  </si>
  <si>
    <t>Herend Város Önkormányzat  költségvetése</t>
  </si>
  <si>
    <t>083050-1 Televízió-műsor szolg. és tám.</t>
  </si>
  <si>
    <t>064010-1 Közvilágítás</t>
  </si>
  <si>
    <t>VIII</t>
  </si>
  <si>
    <t>IX</t>
  </si>
  <si>
    <t>Iskola eü. Egyéb egészségügyi ellátás</t>
  </si>
  <si>
    <t>Dologi</t>
  </si>
  <si>
    <t>XII.</t>
  </si>
  <si>
    <t>Tervezett tartalék</t>
  </si>
  <si>
    <t>Államháztartáson belüli megelőlegezés visszafiz</t>
  </si>
  <si>
    <t>XIII.</t>
  </si>
  <si>
    <t>XV.</t>
  </si>
  <si>
    <t>Kötelező , önként vállalt és állami (államigazgatási) feladatainak kiadásai 2017. évre</t>
  </si>
  <si>
    <t>Intézmény</t>
  </si>
  <si>
    <t>Kiadás összesen</t>
  </si>
  <si>
    <t>Eredeti előirányzat</t>
  </si>
  <si>
    <t>kötelező</t>
  </si>
  <si>
    <t>önként vállalt</t>
  </si>
  <si>
    <t>állami (igazgatási)</t>
  </si>
  <si>
    <t>utak, hidak üzemeltetése</t>
  </si>
  <si>
    <t>köztemető fenntartás</t>
  </si>
  <si>
    <t>egyéb város és k. gazd.</t>
  </si>
  <si>
    <t>Állategészségügyi tevékenység</t>
  </si>
  <si>
    <t>Zöldterületek kezelése, fenntartása</t>
  </si>
  <si>
    <t>közfoglalkoztatás</t>
  </si>
  <si>
    <t>polgármesteri hivatal működtetés</t>
  </si>
  <si>
    <t>Adó,vám és jővedéki igazgatás</t>
  </si>
  <si>
    <t>óvodai intézményi étkeztetés</t>
  </si>
  <si>
    <t>étkeztetés bölcsődében</t>
  </si>
  <si>
    <t>bölcsődei ellátás</t>
  </si>
  <si>
    <t>Közművelődási intézmény</t>
  </si>
  <si>
    <t xml:space="preserve">           rendezvények, közösségi programok szervezése</t>
  </si>
  <si>
    <t>KÖZTERÜLETEK, Építmények beszerzése, FELÚJÍTÁSA</t>
  </si>
  <si>
    <t>Top-2.1.2. Zöld város kialakítása</t>
  </si>
  <si>
    <t>TOP-2.1.3.-15 Települési környezetvédelmi infrastruktúra fejlesztése</t>
  </si>
  <si>
    <t>TOP-5.2.1-15 A társadalmi együttműködés erősítését szolgáló helyi szintű komplex programok</t>
  </si>
  <si>
    <t>TOP-4.2.1-15 Szociális alapszolgáltatások infrastruktúrájának bővítése ( CSSK)</t>
  </si>
  <si>
    <t>ÖSSZESEN</t>
  </si>
  <si>
    <t>GÉP, BERENDEZÉS FELSZERELÉS VÁSÁRLÁS</t>
  </si>
  <si>
    <t>Közművelődési Érdekeltségnövelő támogatás önerő</t>
  </si>
  <si>
    <t>ÉPÜLETEK FELÚJÍTÁSA</t>
  </si>
  <si>
    <t>VP6-7.4.1.1-15 Településképet meghatározó épületek külső rekonstrukciója pályázat (Műv ház))</t>
  </si>
  <si>
    <t>MINDÖSSZESEN</t>
  </si>
  <si>
    <t>21.melléklet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</si>
  <si>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</si>
  <si>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</si>
  <si>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</si>
  <si>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</si>
  <si>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</si>
  <si>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</si>
  <si>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</si>
  <si>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</si>
  <si>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</si>
  <si>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</si>
  <si>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ellátás, óvodai étkeztetés</t>
  </si>
  <si>
    <t xml:space="preserve">            bölcsődei ellátás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</si>
  <si>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</si>
  <si>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</si>
  <si>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</si>
  <si>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Herendi Hétszínvilág Óvoda és Bőlcsőde</t>
  </si>
  <si>
    <t xml:space="preserve">Működési bevétel </t>
  </si>
  <si>
    <t>Városüzemeltetési Közszolg.Int.</t>
  </si>
  <si>
    <t>KIADÁSOK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</si>
  <si>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</si>
  <si>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</si>
  <si>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</si>
  <si>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Felhalmozási kiadás</t>
  </si>
  <si>
    <t xml:space="preserve">           Finanszírozási műveletek</t>
  </si>
  <si>
    <t>MINDÖSSZESEN INTÉZM FINANSZÍROZÁSSAL</t>
  </si>
  <si>
    <t>Működési kiadás összesítő</t>
  </si>
  <si>
    <t>SZEMÉLYI</t>
  </si>
  <si>
    <t>JÁRULÉK</t>
  </si>
  <si>
    <t>DOLOGI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</si>
  <si>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</si>
  <si>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</si>
  <si>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</si>
  <si>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</si>
  <si>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</si>
  <si>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Szolgáltatások ellenértéke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</si>
  <si>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</si>
  <si>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</si>
  <si>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</si>
  <si>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Egyéb felhalmozási célú átvett pénzeszközök</t>
  </si>
  <si>
    <t>ebből: Hosszú lejáratú hitelek, kölcsönök felvétele pénzügyi vállalkozástól</t>
  </si>
  <si>
    <t>Likvidítási célú hitelek, kölcsönök                 felvétele pénzügyi vállakozástól</t>
  </si>
  <si>
    <t xml:space="preserve">Hitel , kölcsön törlesztése államháztartáson kívülre </t>
  </si>
  <si>
    <t>ebből: Hosszú lejáratú hitelek, kölcsönök törlesztése pénzügyi vállalkozásnak</t>
  </si>
  <si>
    <t>Likvidítási célú hitelek, kölcsönök                 törlesztése pénzügyi vállakozásnak</t>
  </si>
  <si>
    <t>Államháztartáson belüli megelőlegezések visszafizetése</t>
  </si>
  <si>
    <t>Kamatbevétek és más nyereség jellegű bevételek</t>
  </si>
  <si>
    <t>Vagyoni tipusú adók (Kommunális adó)</t>
  </si>
  <si>
    <t>Értékesítési és forgalmi adók (Iparűzési adó)</t>
  </si>
  <si>
    <t>Gépjármű adó</t>
  </si>
  <si>
    <t>Egyéb áruhasználati és szolgáltatási adók (talajterhelési díj)</t>
  </si>
  <si>
    <t>Egyéb közhatalmi bevételek ( egyéb települési adók)</t>
  </si>
  <si>
    <t>Települési önkormányzatok szociális, gyermekjóléti és gyermekétkeztetési feladatainak támogatása</t>
  </si>
  <si>
    <t>ebből: egyéb fejezeti kezelésű irányzatok</t>
  </si>
  <si>
    <t>elkülönített állami pénzalapok (közfoglalkoztatás)</t>
  </si>
  <si>
    <t>társadalombiztosítás pénzügyi alapjai (OEP)</t>
  </si>
  <si>
    <t>Egyéb tárgyi eszköz értékesítése</t>
  </si>
  <si>
    <t>ebből: nonprofit gazdaási társaságok</t>
  </si>
  <si>
    <t>háztartások</t>
  </si>
  <si>
    <t>ebből: háztartások</t>
  </si>
  <si>
    <t>ebből: egyéb vállakozások</t>
  </si>
  <si>
    <t>Likvidítási célú hitelek, kölcsönök felvétele pénzügyi vállakozástól</t>
  </si>
  <si>
    <t>Hitel, kölcsön felvétele pénzügyi vállakozástól</t>
  </si>
  <si>
    <t>Hosszú lejáratú hitelek, kölcsönök felvétele pénzügyi vállakozástól</t>
  </si>
  <si>
    <t>Belföldi finanszírozás bevételei</t>
  </si>
  <si>
    <t>Egyéb működési célú támogatások bevételei államháztartáson belülről (választás)</t>
  </si>
  <si>
    <t>Önkormányzati finanszírozás</t>
  </si>
  <si>
    <t xml:space="preserve">          Pénzeszköz átadás társulásnak</t>
  </si>
  <si>
    <t xml:space="preserve">          Nonprofit szervezetek támogatása</t>
  </si>
  <si>
    <t xml:space="preserve">          Közvetett támogatások</t>
  </si>
  <si>
    <t xml:space="preserve">          Dologi</t>
  </si>
  <si>
    <t xml:space="preserve">Betegséggel kapcsolatos ellátások </t>
  </si>
  <si>
    <t>ebből: hozzájárulás a lakossági energiaköltségekhez</t>
  </si>
  <si>
    <t xml:space="preserve">          lakásfenntartási támogatás</t>
  </si>
  <si>
    <t xml:space="preserve">          lakbértámogatás</t>
  </si>
  <si>
    <t>Intézményi ellátottak pénzbeli juttatásai</t>
  </si>
  <si>
    <t>Egyéb nem intzéményi ellátások</t>
  </si>
  <si>
    <t>ebből: egyéb, az önkormányzati rendeletben megállapított juttatás</t>
  </si>
  <si>
    <t xml:space="preserve">         köztemetés</t>
  </si>
  <si>
    <t xml:space="preserve">         települési támogatás</t>
  </si>
  <si>
    <t xml:space="preserve">        önkormányzat által saját hatáskörben adott más ellátás</t>
  </si>
  <si>
    <t xml:space="preserve">          Államháztartáson belüli megelőlegezés visszafizetése</t>
  </si>
  <si>
    <t xml:space="preserve">          Elvonások,befizetések</t>
  </si>
  <si>
    <t>Támogatási célú finanszírozási műveletek</t>
  </si>
  <si>
    <t>Adó, vám és jővedéki igazgatás</t>
  </si>
  <si>
    <t>Sajátos nevelés</t>
  </si>
  <si>
    <t>87.</t>
  </si>
  <si>
    <t>88.</t>
  </si>
  <si>
    <t xml:space="preserve">          Felhalmozási kiadás </t>
  </si>
  <si>
    <t xml:space="preserve">          Felhalmozási kiadások</t>
  </si>
  <si>
    <t>Munkaadókat terhelő járulék és szociális hozzájárulási adó</t>
  </si>
  <si>
    <t>hitel, kölcsön törlesztése pénzügyi vállalkozásnak ( működési célú)</t>
  </si>
  <si>
    <t>Hitel, kölcsön felvétel pénzügyi vállalkozástól (működési)</t>
  </si>
  <si>
    <t>Működési célú maradvány igénybevétele</t>
  </si>
  <si>
    <t>Egyéb működési célú támogatások államháztartáson belülről</t>
  </si>
  <si>
    <t>Hitel kölcsön felvétele pénzügyi vállakozástól</t>
  </si>
  <si>
    <t>Személyi jutattások</t>
  </si>
  <si>
    <t>Hitel kölcsön törlesztése államháztartások kívülre</t>
  </si>
  <si>
    <t>Államháztartáson belüli megelőlegezés vissazfizetése</t>
  </si>
  <si>
    <t xml:space="preserve">          Dologi kiadások</t>
  </si>
  <si>
    <t>Működési célú támogatások államháztartáson belülről (nemzetiségi támogatás)</t>
  </si>
  <si>
    <t>ebből óvodai ellátási díj</t>
  </si>
  <si>
    <t xml:space="preserve">         bölcsődei ellátási díj</t>
  </si>
  <si>
    <t xml:space="preserve">         kiszámlázott általános forgalmi adó</t>
  </si>
  <si>
    <t xml:space="preserve">       kamat bevételek</t>
  </si>
  <si>
    <t>ebből : nonprofit gazdasági társaságok</t>
  </si>
  <si>
    <t>ebből: bérleti díj</t>
  </si>
  <si>
    <t>Könyvtári szolgáltatások</t>
  </si>
  <si>
    <t xml:space="preserve">                 ebből könyv beszerzés</t>
  </si>
  <si>
    <t xml:space="preserve">                ebből rendezvényekre</t>
  </si>
  <si>
    <t>Intézmény üzemeltetés</t>
  </si>
  <si>
    <t xml:space="preserve">          Személyi juttatások</t>
  </si>
  <si>
    <t>ebből: Szolgáltatások ellenértéke</t>
  </si>
  <si>
    <t xml:space="preserve">          Tulajdonosi bevételek</t>
  </si>
  <si>
    <t xml:space="preserve">          Ellátási díjak</t>
  </si>
  <si>
    <t xml:space="preserve">         Kiszámlázott általános forgalmi adó</t>
  </si>
  <si>
    <t xml:space="preserve">        Kamat jellegű bevételek</t>
  </si>
  <si>
    <t xml:space="preserve">VI. </t>
  </si>
  <si>
    <t>Hitel, kölcsön felvétel pénzügyi vállakozástól</t>
  </si>
  <si>
    <t xml:space="preserve">          Támogatásértékű kiadás</t>
  </si>
  <si>
    <t>Lakhatással kapcsolatos ellátások</t>
  </si>
  <si>
    <t>Hitel, kölcsön törleszéte államháztartáson kivülre</t>
  </si>
  <si>
    <t>Önkormányzatok elszámolásai</t>
  </si>
  <si>
    <t>ebből : Kistérségi Társulás</t>
  </si>
  <si>
    <t xml:space="preserve">Működési célú pénzeszköz átadás </t>
  </si>
  <si>
    <t xml:space="preserve">            Herend Környéki Önkormányzatok Család és Gyermekjóléti Szolgálatot Fenntartó Társulás</t>
  </si>
  <si>
    <t xml:space="preserve">     Nonprofit szervezetek támogatás</t>
  </si>
  <si>
    <t xml:space="preserve">          Ellátottak pénzbeli juttatásai</t>
  </si>
  <si>
    <t xml:space="preserve">          Tartalékok</t>
  </si>
  <si>
    <t xml:space="preserve">          Egyéb működési célú kiadások</t>
  </si>
  <si>
    <t xml:space="preserve">          Egyéb  felhalmozási célú kiadások</t>
  </si>
  <si>
    <t xml:space="preserve">                                                        ebből: rendezvények</t>
  </si>
  <si>
    <t>Televizió műsor szolgáltatás</t>
  </si>
  <si>
    <t>Ár és belvízvédelem</t>
  </si>
  <si>
    <t>Család és nővédelem</t>
  </si>
  <si>
    <t>Iskolai eü, egyéb egészségügyi ellátás</t>
  </si>
  <si>
    <t>Önkormányzati ig. tevékenység</t>
  </si>
  <si>
    <t>intézményi üzemeltetés</t>
  </si>
  <si>
    <t>munkahelyi étkeztetés</t>
  </si>
  <si>
    <t>óvodai nevelés</t>
  </si>
  <si>
    <t>nemzetiségi nevelés</t>
  </si>
  <si>
    <t>óvodai ellátás, működtetés</t>
  </si>
  <si>
    <t xml:space="preserve">         temetési segély</t>
  </si>
  <si>
    <t>Polgármesteri Hiv. gép, berendezés (projektor, állvány, szerver, nyomtató A3)</t>
  </si>
  <si>
    <t>Értékesítési és forgalmi adók</t>
  </si>
  <si>
    <t>ebből:                         Vagyoni tipusú adók</t>
  </si>
  <si>
    <t>közvetített szolgáltatások</t>
  </si>
  <si>
    <t>tulajdonosi bevételek</t>
  </si>
  <si>
    <t>kiszámlázott általános forgalmi adó</t>
  </si>
  <si>
    <t>kamatbevételek</t>
  </si>
  <si>
    <t>egyéb működési bevételek</t>
  </si>
  <si>
    <t>ebből:                 szolgáltatások ellenértéke</t>
  </si>
  <si>
    <t>Kölcségvetési bevételek összesen</t>
  </si>
  <si>
    <t>Költségvetési Kiadások</t>
  </si>
  <si>
    <t xml:space="preserve">         Finanszírozási kiadás</t>
  </si>
  <si>
    <t>KÖFOP-1.2.1-VEKOP-16-2016-00028 ASP projekt</t>
  </si>
  <si>
    <t xml:space="preserve"> integrált város fejlesztési stratégia</t>
  </si>
  <si>
    <t>Ellátási díj</t>
  </si>
  <si>
    <t>Sport</t>
  </si>
  <si>
    <t>Iskola müködtetés</t>
  </si>
  <si>
    <t>egyéb működési kiadások</t>
  </si>
  <si>
    <t xml:space="preserve">         elvonások, befizetések</t>
  </si>
  <si>
    <t xml:space="preserve">        pénzeszköz átadás</t>
  </si>
  <si>
    <t xml:space="preserve">         működési célú visszatérítendő kölcsön</t>
  </si>
  <si>
    <t xml:space="preserve">           önkormányzat által nyújtott ellátások</t>
  </si>
  <si>
    <t>Elvonások befizetések</t>
  </si>
  <si>
    <t>Működési célú visszatérítendő támogatások</t>
  </si>
  <si>
    <t>Felhalmozási pénzeszköz átadás</t>
  </si>
  <si>
    <t>Tartalék felhalmozási</t>
  </si>
  <si>
    <t>Felhalmozási kölcsön törlesztés</t>
  </si>
  <si>
    <t>Költségvetési támogatás</t>
  </si>
  <si>
    <t xml:space="preserve">           nemzetiségi támogatás</t>
  </si>
  <si>
    <t xml:space="preserve">          temetési segély</t>
  </si>
  <si>
    <t>203.</t>
  </si>
  <si>
    <t>173.</t>
  </si>
  <si>
    <t>174.</t>
  </si>
  <si>
    <t>175.</t>
  </si>
  <si>
    <t>176.</t>
  </si>
  <si>
    <t>Kiadások összesen</t>
  </si>
  <si>
    <t>ebből műkődési maradvány</t>
  </si>
  <si>
    <t xml:space="preserve">         felhalmozási maradvány</t>
  </si>
  <si>
    <t xml:space="preserve"> Hitel, kölcsön törlesztése államháztartáson kivülre</t>
  </si>
  <si>
    <t xml:space="preserve"> Államháztartáson belüli megelőlegezés visszafiz</t>
  </si>
  <si>
    <t>MÓD I.</t>
  </si>
  <si>
    <t>Mód I.</t>
  </si>
  <si>
    <t>Herend, 795/29 hrsz lakóutca vízellátása</t>
  </si>
  <si>
    <t>Általános forgalmi adó visszatérítés</t>
  </si>
  <si>
    <t>Óvodai kültéri játékok</t>
  </si>
  <si>
    <t>Általános forgalmi adó visszatérülés</t>
  </si>
  <si>
    <t>Felhalmozási célú pénzeszköz átvétel</t>
  </si>
  <si>
    <t>Államit támogatásból felhalmozásra</t>
  </si>
  <si>
    <t>általános forgalmi adó visszatérülés</t>
  </si>
  <si>
    <t>Felhalmozási célú átvett pénzeszköz</t>
  </si>
  <si>
    <t>MÓD II.</t>
  </si>
  <si>
    <t>Mód II.</t>
  </si>
  <si>
    <t>G</t>
  </si>
  <si>
    <t xml:space="preserve">        Egyéb mükődési bevételek</t>
  </si>
  <si>
    <t xml:space="preserve"> Művelődési Ház  kiadások összesen</t>
  </si>
  <si>
    <t>0138 hrsz-ú út felújítása</t>
  </si>
  <si>
    <t>TOP-3.2.1.-16 Önkormányzati épületek energetikai korszerűsítése (Egészségház)</t>
  </si>
  <si>
    <t xml:space="preserve">Művelődési Ház </t>
  </si>
  <si>
    <t xml:space="preserve"> Művelődési Ház </t>
  </si>
  <si>
    <t>Herend , Kossuth u 45. tornaterem felújítás</t>
  </si>
  <si>
    <t>Előirányzat megnevezése</t>
  </si>
  <si>
    <t>Kötelező feladatok</t>
  </si>
  <si>
    <t>Önként vállalt feladatok</t>
  </si>
  <si>
    <t>Államigazgatási feladatok</t>
  </si>
  <si>
    <t>ebből: helyi önkormányzatok és költségvetési szerveik (B16)</t>
  </si>
  <si>
    <t>Működési bevételek  (B4)</t>
  </si>
  <si>
    <t>Műkődési célú támogatások államháztartáson belülről (B1)</t>
  </si>
  <si>
    <t>Ellátási díjak (B405)</t>
  </si>
  <si>
    <t>Kiszámlázott általános forgalmi adó (B406)</t>
  </si>
  <si>
    <t>Kamatbevételek és más nyereségjellegű bevételek  (B408)</t>
  </si>
  <si>
    <t>Egyéb működési bevételek  (B411)</t>
  </si>
  <si>
    <t>Felhalmozási célú pénzeszköz átvétel (B7)</t>
  </si>
  <si>
    <t>Előző év költségvetési maradványának igénybevétele (B8131)</t>
  </si>
  <si>
    <t>Maradvány igénybevétele  (B813)</t>
  </si>
  <si>
    <t>Központi, irányító szervi támogatás (B816)</t>
  </si>
  <si>
    <t>Finanszírozási bevételek  (B8)</t>
  </si>
  <si>
    <t>Herendi Hétszínvilág Óvoda és Bölcsőde bevételei és kiadásai kötelező és önként vállalt feladat valamint államigazgatási feladatai szerinti bontásban</t>
  </si>
  <si>
    <t>Személyi juttatások  (K1)</t>
  </si>
  <si>
    <t>Munkaadókat terhelő járulékok és szociális hozzájárulási adó  (K2)</t>
  </si>
  <si>
    <t>Dologi kiadások (K3)</t>
  </si>
  <si>
    <t>Felhalmozási kiadások (K6)</t>
  </si>
  <si>
    <t xml:space="preserve">Költségvetési kiadások </t>
  </si>
  <si>
    <t>Szolgáltatások ellenértéke (B402)</t>
  </si>
  <si>
    <t>Egyéb működési bevételek (B411)</t>
  </si>
  <si>
    <t>Herendi Polgármesteri Hivatal bevételei és kiadásai kötelező és önként vállalt feladat valamint államigazgatási feladatai szerinti bontásban</t>
  </si>
  <si>
    <t>Közvetített szolgáltatások ellenértéke ) (B403)</t>
  </si>
  <si>
    <t>Herendi Városüzemeltetési Közszolgáltató Intézmény bevételei és kiadásai kötelező és önként vállalt feladat valamint államigazgatási feladatai szerinti bontásban</t>
  </si>
  <si>
    <t>Szolgáltatások ellenértéke  (B402)</t>
  </si>
  <si>
    <t>Tulajdonosi bevételek  (B404)</t>
  </si>
  <si>
    <t>Herend Város Önkormányzata bevételei és kiadásai kötelező és önként vállalt feladat valamint államigazgatási feladatai szerinti bontásban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</si>
  <si>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</si>
  <si>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</si>
  <si>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</si>
  <si>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</si>
  <si>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</si>
  <si>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</si>
  <si>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 (B11)</t>
  </si>
  <si>
    <t>Egyéb működési célú támogatások bevételei államháztartáson belülről  (B16)</t>
  </si>
  <si>
    <t>ebből: elkülönített állami pénzalapok (B16)</t>
  </si>
  <si>
    <t>Működési célú támogatások államháztartáson belülről  (B1)</t>
  </si>
  <si>
    <t>Vagyoni tipusú adók  (B34)</t>
  </si>
  <si>
    <t>Értékesítési és forgalmi adók  (B351)</t>
  </si>
  <si>
    <t>Gépjárműadók  (B354)</t>
  </si>
  <si>
    <t>Egyéb áruhasználati és szolgáltatási adók   (B355)</t>
  </si>
  <si>
    <t>Termékek és szolgáltatások adói  (B35)</t>
  </si>
  <si>
    <t>Egyéb közhatalmi bevételek  (B36)</t>
  </si>
  <si>
    <t>Közhatalmi bevételek  (B3)</t>
  </si>
  <si>
    <t>Közvetített szolgáltatások ellenértéke   (B403)</t>
  </si>
  <si>
    <t>Tulajdonosi bevételek (B404)</t>
  </si>
  <si>
    <t>Általános forgalmi adó visszatérítése (B407)</t>
  </si>
  <si>
    <t>Kamatbevételek és más nyereségjellegű bevételek (B408)</t>
  </si>
  <si>
    <t>Ingatlanok értékesítése) (B52)</t>
  </si>
  <si>
    <t>Egyéb tárgyi eszközök értékesítése (B53)</t>
  </si>
  <si>
    <t>Felhalmozási bevételek  (B5)</t>
  </si>
  <si>
    <t>Működési célú visszatérítendő támogatások, kölcsönök visszatérülése államháztartáson kívülről  (B64)</t>
  </si>
  <si>
    <t>ebből: háztartások (B64)</t>
  </si>
  <si>
    <t>Egyéb működési célú átvett pénzeszközök  (B65)</t>
  </si>
  <si>
    <t>ebből: háztartások (B65)</t>
  </si>
  <si>
    <t>Működési célú átvett pénzeszközök (B6)</t>
  </si>
  <si>
    <t>Egyéb felhalmozási célú átvett pénzeszközök  (B75)</t>
  </si>
  <si>
    <t>Felhalmozási célú átvett pénzeszközök  (B7)</t>
  </si>
  <si>
    <t>Államháztartáson belüli megelelőlegezés</t>
  </si>
  <si>
    <t>Felhalmozási kiadások (K6-K7)</t>
  </si>
  <si>
    <t>Ellátottak pénzbeli juttatásai (K4)</t>
  </si>
  <si>
    <t>Egyéb működési célú támogatások   (K5)</t>
  </si>
  <si>
    <t>Egyéb felhalmozási célú kiadások (K8)</t>
  </si>
  <si>
    <t>Államháztartáson belüli megelőlegezések visszafizetése (K914)</t>
  </si>
  <si>
    <t>Központi, irányító szervi támogatások folyósítása (K915)</t>
  </si>
  <si>
    <t>Belföldi finanszírozás kiadásai  (K91)</t>
  </si>
  <si>
    <t>Finanszírozási kiadások  (K9)</t>
  </si>
  <si>
    <t>beruházás</t>
  </si>
  <si>
    <t>felújítás</t>
  </si>
  <si>
    <t>2017. ÉVI TARTALÉK FELHALSZNÁLÁSA</t>
  </si>
  <si>
    <t>Mód III.</t>
  </si>
  <si>
    <t>Általános tartalék</t>
  </si>
  <si>
    <t>TARTALÉKOK ÖSSZESEN</t>
  </si>
  <si>
    <t>MÓD III.</t>
  </si>
  <si>
    <t>MÓD IV.</t>
  </si>
  <si>
    <t>H</t>
  </si>
  <si>
    <t>Mód IV.</t>
  </si>
  <si>
    <t xml:space="preserve">             kamatbevételek</t>
  </si>
  <si>
    <t xml:space="preserve">            egyéb működési bevételek</t>
  </si>
  <si>
    <t>Herendi Művelődési Ház   költségvetése</t>
  </si>
  <si>
    <t>I</t>
  </si>
  <si>
    <t>Működési célú támogatások</t>
  </si>
  <si>
    <t xml:space="preserve">            nyári diák munka</t>
  </si>
  <si>
    <t>II. Általános tartalék (Egyensúlyi tartalék)</t>
  </si>
  <si>
    <t>Önkormányzatok működési támogatásai (B11)</t>
  </si>
  <si>
    <t>Egyéb működési célú támogatások bevételei államháztartáson belülről (B16)</t>
  </si>
  <si>
    <t xml:space="preserve">          társadalombiztosítás pénzügyi alapjai</t>
  </si>
  <si>
    <t xml:space="preserve">    elkülönített állami pénzalapok (közfoglalkoztatás)</t>
  </si>
  <si>
    <t xml:space="preserve">         fejezeti kezelési előirányzatok EU-s programokra</t>
  </si>
  <si>
    <t>Működési célú támogatások államháztartáson belülről (B1)</t>
  </si>
  <si>
    <t>Felhalmozási célú támogatások államháztartáson belülről (B2)</t>
  </si>
  <si>
    <t>Egyéb felhalmozási célú támogatások bevételei államháztartáson belülről</t>
  </si>
  <si>
    <t>ebből: fejezeti kezelésű előirányzatok EU-s programokra</t>
  </si>
  <si>
    <t>Biztosító által kifizetett kártérítés</t>
  </si>
  <si>
    <t>Közhatalmi bevételek (B3)</t>
  </si>
  <si>
    <t>Működési bevételek (B4)</t>
  </si>
  <si>
    <t>Felhalmozási bevételek (B5)</t>
  </si>
  <si>
    <t>ebből: ingatlan értékesítés</t>
  </si>
  <si>
    <t xml:space="preserve">          egyéb tárgyi eszköz értékesítés</t>
  </si>
  <si>
    <t>ebből: működési célú visszatérítendő támogatások, kölcsönök visszatérülése államháztartáson kívülről</t>
  </si>
  <si>
    <t xml:space="preserve">          egyéb működési célú átvett pénzeszközök</t>
  </si>
  <si>
    <t>Felhalmozási célú pézeszközök (B7)</t>
  </si>
  <si>
    <t>Finanszírozási bevételek (B8)</t>
  </si>
  <si>
    <t>Családi támogatások</t>
  </si>
  <si>
    <t>Család és Gyermekjóléti Szolgálat épület felújítás</t>
  </si>
  <si>
    <t>TOP-2.1.2-15-VE1 Zöld város kialakítás</t>
  </si>
  <si>
    <t xml:space="preserve"> Herendi Művelődési Ház </t>
  </si>
  <si>
    <t xml:space="preserve">Herendi Művelődési Ház </t>
  </si>
  <si>
    <t>Herendi Művelődési Ház bevételei és kiadásai kötelező és önként vállalt feladat valamint államigazgatási feladatai szerinti bontásban</t>
  </si>
  <si>
    <t>Biztosító által fizetett kártérítések</t>
  </si>
  <si>
    <t>Elvonás, befizetés</t>
  </si>
  <si>
    <t>ebből: fejezeti kezelésű irányzatok előirányzatok EU-s programokra</t>
  </si>
  <si>
    <t>ebből: fejezeti kezelésű előirányzat EU-s programokra</t>
  </si>
  <si>
    <t>Egyéb felhalmozási célú támogatások államháztartáson belülről</t>
  </si>
  <si>
    <t>nyári diákmunka</t>
  </si>
  <si>
    <t>ebből: fejezeti kezelésű irányzatokEU-s programokra</t>
  </si>
  <si>
    <t xml:space="preserve">          Elvonások, befizetések</t>
  </si>
  <si>
    <t xml:space="preserve"> Herendi Művelődési Ház  összesen</t>
  </si>
  <si>
    <t>elvonások, befizetéek</t>
  </si>
  <si>
    <t>Herend Város Önkormányzat  2017.évi közvetett támogatások</t>
  </si>
  <si>
    <t xml:space="preserve">Herend Város Önkormányzat kezességvállalása, tőke és kamatok ütemezett törlesztése Ft-ban </t>
  </si>
  <si>
    <t>Sorsz.</t>
  </si>
  <si>
    <t xml:space="preserve">Hitelfelvétel jogcíme </t>
  </si>
  <si>
    <t xml:space="preserve">Hitel értéke </t>
  </si>
  <si>
    <t>Kamatkondíciók</t>
  </si>
  <si>
    <t>Hitelt nyújtó pénzintézet</t>
  </si>
  <si>
    <t>Önkormányzati visszafizetési kötelezettség</t>
  </si>
  <si>
    <t>Futamidő</t>
  </si>
  <si>
    <t>Likvid hitelállomány a 150/2016. (XI.10.) önkormányzati  határozat alapján</t>
  </si>
  <si>
    <t>Várható kamata</t>
  </si>
  <si>
    <t>Várható kezelési költség, rendelkezésre tartási jutalék</t>
  </si>
  <si>
    <t>Kiemelt szegély javítás, útpatka burkolás Temetőnél</t>
  </si>
  <si>
    <t>Mód V.</t>
  </si>
  <si>
    <t>MÓD V.</t>
  </si>
  <si>
    <t xml:space="preserve">      egyéb működési célú bevételek</t>
  </si>
  <si>
    <t>J</t>
  </si>
  <si>
    <t>Mükődési célú átvett pénzeszköz</t>
  </si>
  <si>
    <t>IV:</t>
  </si>
  <si>
    <t>Top-2.1.2. Zöld város kialakítása önerő</t>
  </si>
  <si>
    <t xml:space="preserve">Top-2.1.2. Zöld város kialakítása </t>
  </si>
  <si>
    <t>TOP-2.3.1.-15 Fenntartaható települési közlekedés fejlesztése önerő</t>
  </si>
  <si>
    <t>TOP-4.3.1-15 Leromlott területek rehabilitációja önerő</t>
  </si>
  <si>
    <t>TOP-5.2.1-15 A társadalmi együttműködés erősítését szolgáló helyi szintű komplex programok önerő</t>
  </si>
  <si>
    <t xml:space="preserve">TOP-5.2.1-15 A társadalmi együttműködés erősítését szolgáló helyi szintű komplex programok </t>
  </si>
  <si>
    <t>TOP-3.1.1-15 Városrészeket összekötő kerékpárút</t>
  </si>
  <si>
    <t>VP6-7.2.1.-7.4.1.2.-16 Külterületi helyi közutak fejlesztése, önkormányzati utak kezeléséhez, állapotjavításához önerő</t>
  </si>
  <si>
    <t>MÜKŐDÉSI</t>
  </si>
  <si>
    <t xml:space="preserve">Művelődési ház hangosítás </t>
  </si>
  <si>
    <t>Mód IV</t>
  </si>
  <si>
    <t>Mód V</t>
  </si>
  <si>
    <t>Vagyoni értékű jog beszerzése</t>
  </si>
  <si>
    <t>III</t>
  </si>
  <si>
    <t>Településképi arculatai kézikönyv</t>
  </si>
  <si>
    <t>Felhalmozási célú önkormányzati támogatások</t>
  </si>
  <si>
    <t xml:space="preserve">            fejezeti kezelési ei Eu</t>
  </si>
  <si>
    <t>Elvonások, befizetésel</t>
  </si>
  <si>
    <t xml:space="preserve">Rendőrség </t>
  </si>
  <si>
    <t>nemzetiségi önkormányzattól</t>
  </si>
  <si>
    <t>Bérleti díj</t>
  </si>
  <si>
    <t>temetői váza felújítása</t>
  </si>
  <si>
    <t>Herend Város Önkormányzat 2017. évi költségvetési támogatása</t>
  </si>
  <si>
    <t>TÁMOGATÁS ÖSSZESEN</t>
  </si>
  <si>
    <t>Jogcím száma</t>
  </si>
  <si>
    <t xml:space="preserve">Jogcím megnevezése       </t>
  </si>
  <si>
    <t>Mennyiségi egység</t>
  </si>
  <si>
    <t>Mutató</t>
  </si>
  <si>
    <t>Fajlagos összeg</t>
  </si>
  <si>
    <t>Összeg (Ft)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</si>
  <si>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</si>
  <si>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</si>
  <si>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</si>
  <si>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</si>
  <si>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</si>
  <si>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</si>
  <si>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</si>
  <si>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</si>
  <si>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I.1.b Település-üzemeltetéshez kapcsolódó feladatellátás támogatása</t>
  </si>
  <si>
    <t>3</t>
  </si>
  <si>
    <t>I.1.b</t>
  </si>
  <si>
    <t xml:space="preserve"> Támogatás összesen </t>
  </si>
  <si>
    <t>4</t>
  </si>
  <si>
    <t>I.1.b - V.</t>
  </si>
  <si>
    <t xml:space="preserve"> Támogatás összesen - beszámítás után </t>
  </si>
  <si>
    <t>5</t>
  </si>
  <si>
    <t>I.1.ba</t>
  </si>
  <si>
    <t xml:space="preserve"> A zöldterület-gazdálkodással kapcsolatos feladatok ellátásának támogatása </t>
  </si>
  <si>
    <t>hektár</t>
  </si>
  <si>
    <t>6</t>
  </si>
  <si>
    <t>I.1.ba - V.</t>
  </si>
  <si>
    <t xml:space="preserve"> A zöldterület-gazdálkodással kapcsolatos feladatok ellátásának támogatása - beszámítás után </t>
  </si>
  <si>
    <t>7</t>
  </si>
  <si>
    <t>I.1.bb</t>
  </si>
  <si>
    <t xml:space="preserve"> Közvilágítás fenntartásának támogatása </t>
  </si>
  <si>
    <t>km</t>
  </si>
  <si>
    <t>8</t>
  </si>
  <si>
    <t>I.1.bb - V.</t>
  </si>
  <si>
    <t xml:space="preserve"> Közvilágítás fenntartásának támogatása - beszámítás után </t>
  </si>
  <si>
    <t>9</t>
  </si>
  <si>
    <t>I.1.bc</t>
  </si>
  <si>
    <t xml:space="preserve"> Köztemető fenntartással kapcsolatos feladatok támogatása </t>
  </si>
  <si>
    <t>m2</t>
  </si>
  <si>
    <t>10</t>
  </si>
  <si>
    <t>I.1.bc - V.</t>
  </si>
  <si>
    <t xml:space="preserve"> Köztemető fenntartással kapcsolatos feladatok támogatása - beszámítás után </t>
  </si>
  <si>
    <t>11</t>
  </si>
  <si>
    <t>I.1.bd</t>
  </si>
  <si>
    <t xml:space="preserve"> Közutak fenntartásának támogatása </t>
  </si>
  <si>
    <t>12</t>
  </si>
  <si>
    <t>I.1.bd - V.</t>
  </si>
  <si>
    <t xml:space="preserve"> Közutak fenntartásának támogatása - beszámítás után 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</si>
  <si>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</si>
  <si>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</si>
  <si>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</si>
  <si>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</si>
  <si>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</si>
  <si>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</si>
  <si>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</si>
  <si>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</si>
  <si>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</si>
  <si>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</si>
  <si>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</si>
  <si>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</si>
  <si>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</si>
  <si>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</si>
  <si>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</si>
  <si>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</si>
  <si>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</si>
  <si>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</si>
  <si>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</si>
  <si>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I.1.e - V.</t>
  </si>
  <si>
    <t>Üdülőhelyi feladatok támogatása - beszámítás után</t>
  </si>
  <si>
    <t>19</t>
  </si>
  <si>
    <t>I.1. - V.</t>
  </si>
  <si>
    <t>A települési önkormányzatok működésének támogatása beszámítás és kiegészítés után</t>
  </si>
  <si>
    <t>20</t>
  </si>
  <si>
    <t>V. Info</t>
  </si>
  <si>
    <t>Beszámítás</t>
  </si>
  <si>
    <t>21</t>
  </si>
  <si>
    <t>V. I.1. kiegészítés</t>
  </si>
  <si>
    <t>I.1. jogcímekhez kapcsolódó kiegészítés</t>
  </si>
  <si>
    <t>22</t>
  </si>
  <si>
    <t>I.2.</t>
  </si>
  <si>
    <t>Nem közművel összegyűjtött háztartási szennyvíz ártalmatlanítása</t>
  </si>
  <si>
    <t>m3</t>
  </si>
  <si>
    <t>I.6.</t>
  </si>
  <si>
    <t xml:space="preserve">I. </t>
  </si>
  <si>
    <t>A helyi önkormányzatok működésének általános támogatása összesen</t>
  </si>
  <si>
    <t>II.1. Óvodapedagógusok , és az óvodapedagogusok nevelő munkáját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</si>
  <si>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</si>
  <si>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</si>
  <si>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</si>
  <si>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</si>
  <si>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</si>
  <si>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</si>
  <si>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</si>
  <si>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</si>
  <si>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(3) 2</t>
  </si>
  <si>
    <t>II.1. (4) 2</t>
  </si>
  <si>
    <t xml:space="preserve"> óvodapedagógusok elismert létszáma (pótlólagos összeg) </t>
  </si>
  <si>
    <t>33</t>
  </si>
  <si>
    <t>II.1. (5) 2</t>
  </si>
  <si>
    <t xml:space="preserve"> pedagógus szakképzettséggel rendelkező, óvodapedagógusok nevelő munkáját közvetlenül segítők pótlólagos támogatása </t>
  </si>
  <si>
    <t>II.2. Óvodaműködtetési támogatás</t>
  </si>
  <si>
    <t>34</t>
  </si>
  <si>
    <t>II.2. (1) 1</t>
  </si>
  <si>
    <t xml:space="preserve">gyermekek nevelése a napi 8 órát nem éri el </t>
  </si>
  <si>
    <t>35</t>
  </si>
  <si>
    <t>II.2. (8) 1</t>
  </si>
  <si>
    <t xml:space="preserve">gyermekek nevelése a napi 8 órát eléri vagy meghaladja </t>
  </si>
  <si>
    <t>II.2. (8) 2</t>
  </si>
  <si>
    <t xml:space="preserve">II.3. Társulás által fenntartott óvodákba bejáró gyermekek utaztatásának támogatása </t>
  </si>
  <si>
    <t>II.3. 1</t>
  </si>
  <si>
    <t xml:space="preserve">8 hónap  </t>
  </si>
  <si>
    <t>II.3. 2</t>
  </si>
  <si>
    <t xml:space="preserve">4 hónap </t>
  </si>
  <si>
    <t>II.4. (1)</t>
  </si>
  <si>
    <t xml:space="preserve">   A köznevelési intézmények működtetéséhez kapcsolódó támogatás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</si>
  <si>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</si>
  <si>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</si>
  <si>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</si>
  <si>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</si>
  <si>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 Egyes szociális és gyermekjóléti feladatok támogatása</t>
  </si>
  <si>
    <t>III.3.a</t>
  </si>
  <si>
    <t xml:space="preserve"> Család- és gyermekjóléti szolgálat </t>
  </si>
  <si>
    <t>számított létszám</t>
  </si>
  <si>
    <t>III.3.j Gyermekek napközbeni ellátása</t>
  </si>
  <si>
    <t>III.3.ja (1)</t>
  </si>
  <si>
    <t xml:space="preserve"> bölcsődei ellátás - nem fogyatékos, nem hátrányos helyzetű gyermek</t>
  </si>
  <si>
    <t>III.5. Gyermekétkeztetés támogatása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</si>
  <si>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</si>
  <si>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</si>
  <si>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</si>
  <si>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</si>
  <si>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</si>
  <si>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</si>
  <si>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A települési önkormányzatok szociális, gyermekjóléti és gyermekétkeztetési feladatainak támogatása</t>
  </si>
  <si>
    <t>Könyvtári, közművelődési és múzeumi feladatok támogatása</t>
  </si>
  <si>
    <t>Ft</t>
  </si>
  <si>
    <t>IV.1.d</t>
  </si>
  <si>
    <t xml:space="preserve">Könyvtári, közművelődési és múzeumi feladatok támogatása
 Települési önkormányzatok nyilvános könyvtári és a közművelődési feladatainak támogatása </t>
  </si>
  <si>
    <t>IV.1.i</t>
  </si>
  <si>
    <t xml:space="preserve">Könyvtári, közművelődési és múzeumi feladatok támogatása
 A települési önkormányzatok könyvtári célú érdekeltségnövelő támogatása </t>
  </si>
  <si>
    <t>IV.1.</t>
  </si>
  <si>
    <t xml:space="preserve">Könyvtári, közművelődési és múzeumi feladatok támogatása
 Könyvtári, közművelődési és műzeumi feladatok támogatása összesen </t>
  </si>
  <si>
    <t>A települési önkormányzatok kulturális feladatainak támogatása</t>
  </si>
  <si>
    <t>A 2016. évről áthuzodó bérkompenzáció</t>
  </si>
  <si>
    <t>I.5.</t>
  </si>
  <si>
    <t>Településképi arculati kézikönyv elkészítésének támogatása</t>
  </si>
  <si>
    <t>II.4. elszámolás támogatás az óvodapedagogusok minősítéséből adódó többletkiadáshoz</t>
  </si>
  <si>
    <t>II.4.a (1)</t>
  </si>
  <si>
    <t>II.4.b (1)</t>
  </si>
  <si>
    <t xml:space="preserve"> alapfokozatú végzettségű pedagógus II. kategóriába sorolt óvodapedagógusok kiegészítő támogatása - akik a minősítést 2015. december 31-éig szerezték meg </t>
  </si>
  <si>
    <t xml:space="preserve"> alapfokozatú végzettségű pedagógus II. kategóriába sorolt óvodapedagógusok kiegészítő támogatása - akik a minősítést 2016. december 31-ig szerezték meg</t>
  </si>
  <si>
    <t>III.3.jc</t>
  </si>
  <si>
    <t>Bölcsőde, mini bölcsőde kiegészítő támogatása</t>
  </si>
  <si>
    <t>Ellátottak pénzbeli juttatsásai</t>
  </si>
  <si>
    <t>"1. melléklet a 2/2017.(II.16.) önkormányzati rendelethez"</t>
  </si>
  <si>
    <t>"2. melléklet a 2/2017.(II.16.) önkormányzati rendelethez"</t>
  </si>
  <si>
    <t>3/2018.(II.15.) önkormányzati rendelethez</t>
  </si>
  <si>
    <t>"3. melléklet a 2/2017.(II.16.) önkormányzati rendelethez"</t>
  </si>
  <si>
    <t>"4. melléklet a 2/2017.(II.16.) önkormányzati rendelethez"</t>
  </si>
  <si>
    <t>"5. melléklet a 2/2017.(II.16.) önkormányzati rendelethez"</t>
  </si>
  <si>
    <t>"6. melléklet a 2/2017.(II.16.) önkormányzati rendelethez"</t>
  </si>
  <si>
    <t>"7. melléklet a 2/2017.(II.16.) önkormányzati rendelethez"</t>
  </si>
  <si>
    <t>"8. melléklet a 2/2017.(II.16.) önkormányzati rendelethez"</t>
  </si>
  <si>
    <t>"9. melléklet a 2/2017.(II.16.) önkormányzati rendelethez"</t>
  </si>
  <si>
    <t>"11. melléklet a 2/2017.(II.16.) önkormányzati rendelethez"</t>
  </si>
  <si>
    <t>10.melléklet</t>
  </si>
  <si>
    <t>11. melléklet</t>
  </si>
  <si>
    <t>"12. melléklet a 2/2017.(II.16.) önkormányzati rendelethez"</t>
  </si>
  <si>
    <t>12.1. melléklet</t>
  </si>
  <si>
    <t>"13.1. melléklet a 2/2017.(II.16.) önkormányzati rendelethez"</t>
  </si>
  <si>
    <t>"14. melléklet a 2/2017.(II.16.) önkormányzati rendelethez"</t>
  </si>
  <si>
    <t xml:space="preserve">13.melléklet </t>
  </si>
  <si>
    <t>"15. melléklet a 2/2017.(II.16.) önkormányzati rendelethez"</t>
  </si>
  <si>
    <t xml:space="preserve">14.  melléklet </t>
  </si>
  <si>
    <t>15. melléklet</t>
  </si>
  <si>
    <t>"16. melléklet a 2/2017.(II.16.) önkormányzati rendelethez"</t>
  </si>
  <si>
    <t>"17. melléklet a 2/2017.(II.16.) önkormányzati rendelethez"</t>
  </si>
  <si>
    <t>"18. melléklet a 2/2017.(II.16.) önkormányzati rendelethez"</t>
  </si>
  <si>
    <t>"19. melléklet a 2/2017.(II.16.) önkormányzati rendelethez"</t>
  </si>
  <si>
    <t>"20. melléklet a 2/2017.(II.16.) önkormányzati rendelethez"</t>
  </si>
  <si>
    <t>19.1. melléklet</t>
  </si>
  <si>
    <t>"20.1.. melléklet a 2/2017.(II.16.) önkormányzati rendelethez"</t>
  </si>
  <si>
    <t>"20.2.. melléklet a 2/2017.(II.16.) önkormányzati rendelethez"</t>
  </si>
  <si>
    <t>19.2. melléklet</t>
  </si>
  <si>
    <t>"20.3. melléklet a 2/2017.(II.16.) önkormányzati rendelethez"</t>
  </si>
  <si>
    <t>19.3. melléklet</t>
  </si>
  <si>
    <t>"20.4. melléklet a 2/2017.(II.16.) önkormányzati rendelethez"</t>
  </si>
  <si>
    <t>19.4. melléklet</t>
  </si>
  <si>
    <t>"20.5. melléklet a 2/2017.(II.16.) önkormányzati rendelethez"</t>
  </si>
  <si>
    <t>19.5. melléklet</t>
  </si>
  <si>
    <t>"21. melléklet a 2/2017.(II.16.) önkormányzati rendelethez"</t>
  </si>
  <si>
    <t>20.melléklet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</si>
</sst>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* #,##0.00&quot;     &quot;;\-* #,##0.00&quot;     &quot;;\ * \-#&quot;     &quot;;@\ "/>
    <numFmt numFmtId="165" formatCode="\ * #,##0&quot;     &quot;;\-* #,##0&quot;     &quot;;\ * \-#&quot;     &quot;;@\ "/>
    <numFmt numFmtId="166" formatCode="\ * #,##0.00&quot; Ft &quot;;\-* #,##0.00&quot; Ft &quot;;\ * \-#&quot; Ft &quot;;@\ "/>
    <numFmt numFmtId="167" formatCode="0.0"/>
    <numFmt numFmtId="168" formatCode="#,##0.0"/>
    <numFmt numFmtId="169" formatCode="\ * #,##0.0&quot;     &quot;;\-* #,##0.0&quot;     &quot;;\ * \-#&quot;     &quot;;@\ "/>
    <numFmt numFmtId="170" formatCode="[$-40E]yyyy\.\ mmmm\ d\."/>
    <numFmt numFmtId="171" formatCode="0.0%"/>
    <numFmt numFmtId="172" formatCode="[$-40E]yyyy\.\ mmmm\ d\.\,\ dddd"/>
  </numFmts>
  <fonts count="92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Black"/>
      <family val="2"/>
    </font>
    <font>
      <sz val="10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Arial Black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81" fillId="0" borderId="9" applyNumberFormat="0" applyFill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ill="0" applyBorder="0" applyAlignment="0" applyProtection="0"/>
  </cellStyleXfs>
  <cellXfs count="20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0" xfId="46" applyNumberFormat="1" applyFill="1" applyBorder="1" applyAlignment="1" applyProtection="1">
      <alignment/>
      <protection/>
    </xf>
    <xf numFmtId="9" fontId="0" fillId="0" borderId="0" xfId="64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/>
    </xf>
    <xf numFmtId="165" fontId="2" fillId="33" borderId="18" xfId="46" applyNumberFormat="1" applyFont="1" applyFill="1" applyBorder="1" applyAlignment="1" applyProtection="1">
      <alignment horizontal="center" vertical="center" wrapText="1"/>
      <protection/>
    </xf>
    <xf numFmtId="9" fontId="2" fillId="33" borderId="19" xfId="64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left" vertical="center"/>
    </xf>
    <xf numFmtId="9" fontId="1" fillId="0" borderId="21" xfId="64" applyFont="1" applyFill="1" applyBorder="1" applyAlignment="1" applyProtection="1">
      <alignment/>
      <protection/>
    </xf>
    <xf numFmtId="3" fontId="1" fillId="0" borderId="0" xfId="0" applyNumberFormat="1" applyFont="1" applyFill="1" applyAlignment="1">
      <alignment/>
    </xf>
    <xf numFmtId="3" fontId="8" fillId="0" borderId="2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165" fontId="8" fillId="0" borderId="12" xfId="46" applyNumberFormat="1" applyFont="1" applyFill="1" applyBorder="1" applyAlignment="1" applyProtection="1">
      <alignment/>
      <protection/>
    </xf>
    <xf numFmtId="165" fontId="8" fillId="36" borderId="12" xfId="46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>
      <alignment/>
    </xf>
    <xf numFmtId="3" fontId="2" fillId="0" borderId="2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5" fontId="2" fillId="0" borderId="12" xfId="46" applyNumberFormat="1" applyFont="1" applyFill="1" applyBorder="1" applyAlignment="1" applyProtection="1">
      <alignment/>
      <protection/>
    </xf>
    <xf numFmtId="165" fontId="2" fillId="36" borderId="12" xfId="46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1" fillId="0" borderId="2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8" fillId="0" borderId="23" xfId="0" applyNumberFormat="1" applyFont="1" applyFill="1" applyBorder="1" applyAlignment="1">
      <alignment/>
    </xf>
    <xf numFmtId="165" fontId="8" fillId="0" borderId="23" xfId="46" applyNumberFormat="1" applyFont="1" applyFill="1" applyBorder="1" applyAlignment="1" applyProtection="1">
      <alignment/>
      <protection/>
    </xf>
    <xf numFmtId="3" fontId="2" fillId="0" borderId="23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 horizontal="center" vertical="center"/>
    </xf>
    <xf numFmtId="3" fontId="5" fillId="33" borderId="2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165" fontId="2" fillId="33" borderId="12" xfId="46" applyNumberFormat="1" applyFont="1" applyFill="1" applyBorder="1" applyAlignment="1" applyProtection="1">
      <alignment horizontal="center"/>
      <protection/>
    </xf>
    <xf numFmtId="9" fontId="2" fillId="33" borderId="26" xfId="64" applyFont="1" applyFill="1" applyBorder="1" applyAlignment="1" applyProtection="1">
      <alignment horizontal="center"/>
      <protection/>
    </xf>
    <xf numFmtId="3" fontId="0" fillId="0" borderId="2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/>
    </xf>
    <xf numFmtId="165" fontId="0" fillId="0" borderId="12" xfId="46" applyNumberForma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center"/>
    </xf>
    <xf numFmtId="165" fontId="0" fillId="36" borderId="12" xfId="46" applyNumberFormat="1" applyFont="1" applyFill="1" applyBorder="1" applyAlignment="1" applyProtection="1">
      <alignment/>
      <protection/>
    </xf>
    <xf numFmtId="165" fontId="0" fillId="36" borderId="12" xfId="46" applyNumberFormat="1" applyFill="1" applyBorder="1" applyAlignment="1" applyProtection="1">
      <alignment/>
      <protection/>
    </xf>
    <xf numFmtId="3" fontId="2" fillId="0" borderId="27" xfId="0" applyNumberFormat="1" applyFont="1" applyFill="1" applyBorder="1" applyAlignment="1">
      <alignment horizontal="center"/>
    </xf>
    <xf numFmtId="165" fontId="2" fillId="0" borderId="23" xfId="46" applyNumberFormat="1" applyFont="1" applyFill="1" applyBorder="1" applyAlignment="1" applyProtection="1">
      <alignment/>
      <protection/>
    </xf>
    <xf numFmtId="3" fontId="2" fillId="0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vertical="center"/>
    </xf>
    <xf numFmtId="3" fontId="2" fillId="0" borderId="14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/>
    </xf>
    <xf numFmtId="3" fontId="13" fillId="0" borderId="28" xfId="0" applyNumberFormat="1" applyFont="1" applyFill="1" applyBorder="1" applyAlignment="1">
      <alignment/>
    </xf>
    <xf numFmtId="165" fontId="13" fillId="36" borderId="12" xfId="46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165" fontId="8" fillId="36" borderId="23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wrapText="1"/>
    </xf>
    <xf numFmtId="165" fontId="0" fillId="36" borderId="14" xfId="46" applyNumberFormat="1" applyFont="1" applyFill="1" applyBorder="1" applyAlignment="1" applyProtection="1">
      <alignment/>
      <protection/>
    </xf>
    <xf numFmtId="3" fontId="2" fillId="0" borderId="29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165" fontId="1" fillId="33" borderId="0" xfId="4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13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wrapText="1"/>
    </xf>
    <xf numFmtId="165" fontId="0" fillId="0" borderId="12" xfId="46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33" borderId="12" xfId="0" applyNumberFormat="1" applyFont="1" applyFill="1" applyBorder="1" applyAlignment="1">
      <alignment horizontal="center"/>
    </xf>
    <xf numFmtId="165" fontId="2" fillId="33" borderId="12" xfId="46" applyNumberFormat="1" applyFont="1" applyFill="1" applyBorder="1" applyAlignment="1" applyProtection="1">
      <alignment/>
      <protection/>
    </xf>
    <xf numFmtId="165" fontId="0" fillId="0" borderId="0" xfId="46" applyNumberFormat="1" applyFill="1" applyBorder="1" applyAlignment="1" applyProtection="1">
      <alignment horizontal="center"/>
      <protection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165" fontId="0" fillId="0" borderId="14" xfId="46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14" xfId="46" applyNumberForma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5" fontId="0" fillId="33" borderId="0" xfId="46" applyNumberForma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5" fontId="0" fillId="0" borderId="0" xfId="46" applyNumberFormat="1" applyFont="1" applyFill="1" applyBorder="1" applyAlignment="1" applyProtection="1">
      <alignment/>
      <protection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3" fontId="16" fillId="0" borderId="31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Alignment="1">
      <alignment/>
    </xf>
    <xf numFmtId="3" fontId="2" fillId="0" borderId="3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167" fontId="0" fillId="0" borderId="29" xfId="0" applyNumberFormat="1" applyFont="1" applyBorder="1" applyAlignment="1">
      <alignment/>
    </xf>
    <xf numFmtId="3" fontId="2" fillId="0" borderId="3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167" fontId="0" fillId="0" borderId="11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2" fillId="0" borderId="0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/>
    </xf>
    <xf numFmtId="165" fontId="0" fillId="33" borderId="12" xfId="46" applyNumberFormat="1" applyFill="1" applyBorder="1" applyAlignment="1" applyProtection="1">
      <alignment/>
      <protection/>
    </xf>
    <xf numFmtId="1" fontId="2" fillId="0" borderId="17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167" fontId="2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167" fontId="0" fillId="0" borderId="29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167" fontId="0" fillId="0" borderId="35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 horizontal="center"/>
    </xf>
    <xf numFmtId="3" fontId="0" fillId="33" borderId="34" xfId="0" applyNumberFormat="1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/>
    </xf>
    <xf numFmtId="167" fontId="2" fillId="0" borderId="36" xfId="0" applyNumberFormat="1" applyFont="1" applyFill="1" applyBorder="1" applyAlignment="1">
      <alignment/>
    </xf>
    <xf numFmtId="165" fontId="0" fillId="0" borderId="23" xfId="46" applyNumberFormat="1" applyFill="1" applyBorder="1" applyAlignment="1" applyProtection="1">
      <alignment/>
      <protection/>
    </xf>
    <xf numFmtId="167" fontId="2" fillId="0" borderId="12" xfId="0" applyNumberFormat="1" applyFont="1" applyFill="1" applyBorder="1" applyAlignment="1">
      <alignment/>
    </xf>
    <xf numFmtId="3" fontId="0" fillId="33" borderId="35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3" fontId="2" fillId="33" borderId="12" xfId="0" applyNumberFormat="1" applyFont="1" applyFill="1" applyBorder="1" applyAlignment="1">
      <alignment wrapText="1"/>
    </xf>
    <xf numFmtId="3" fontId="16" fillId="0" borderId="12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167" fontId="2" fillId="0" borderId="12" xfId="0" applyNumberFormat="1" applyFont="1" applyFill="1" applyBorder="1" applyAlignment="1">
      <alignment horizontal="center"/>
    </xf>
    <xf numFmtId="165" fontId="2" fillId="36" borderId="26" xfId="46" applyNumberFormat="1" applyFont="1" applyFill="1" applyBorder="1" applyAlignment="1" applyProtection="1">
      <alignment horizontal="right" vertical="center"/>
      <protection/>
    </xf>
    <xf numFmtId="167" fontId="0" fillId="0" borderId="12" xfId="0" applyNumberFormat="1" applyFont="1" applyFill="1" applyBorder="1" applyAlignment="1">
      <alignment horizontal="center"/>
    </xf>
    <xf numFmtId="165" fontId="0" fillId="36" borderId="26" xfId="46" applyNumberFormat="1" applyFill="1" applyBorder="1" applyAlignment="1" applyProtection="1">
      <alignment horizontal="right" vertical="center"/>
      <protection/>
    </xf>
    <xf numFmtId="3" fontId="0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167" fontId="0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165" fontId="2" fillId="0" borderId="12" xfId="46" applyNumberFormat="1" applyFont="1" applyFill="1" applyBorder="1" applyAlignment="1" applyProtection="1">
      <alignment horizontal="center" vertical="center"/>
      <protection/>
    </xf>
    <xf numFmtId="165" fontId="0" fillId="0" borderId="12" xfId="46" applyNumberFormat="1" applyFill="1" applyBorder="1" applyAlignment="1" applyProtection="1">
      <alignment horizontal="center" vertical="center"/>
      <protection/>
    </xf>
    <xf numFmtId="3" fontId="16" fillId="33" borderId="12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 wrapText="1"/>
    </xf>
    <xf numFmtId="3" fontId="15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wrapText="1"/>
    </xf>
    <xf numFmtId="3" fontId="1" fillId="33" borderId="23" xfId="0" applyNumberFormat="1" applyFont="1" applyFill="1" applyBorder="1" applyAlignment="1">
      <alignment wrapText="1"/>
    </xf>
    <xf numFmtId="3" fontId="1" fillId="33" borderId="23" xfId="0" applyNumberFormat="1" applyFont="1" applyFill="1" applyBorder="1" applyAlignment="1">
      <alignment/>
    </xf>
    <xf numFmtId="165" fontId="2" fillId="33" borderId="23" xfId="46" applyNumberFormat="1" applyFont="1" applyFill="1" applyBorder="1" applyAlignment="1" applyProtection="1">
      <alignment/>
      <protection/>
    </xf>
    <xf numFmtId="3" fontId="0" fillId="0" borderId="37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wrapText="1"/>
    </xf>
    <xf numFmtId="3" fontId="0" fillId="36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65" fontId="0" fillId="0" borderId="13" xfId="46" applyNumberFormat="1" applyFill="1" applyBorder="1" applyAlignment="1" applyProtection="1">
      <alignment/>
      <protection/>
    </xf>
    <xf numFmtId="3" fontId="0" fillId="36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3" fillId="0" borderId="12" xfId="46" applyNumberFormat="1" applyFont="1" applyFill="1" applyBorder="1" applyAlignment="1" applyProtection="1">
      <alignment/>
      <protection/>
    </xf>
    <xf numFmtId="165" fontId="3" fillId="0" borderId="0" xfId="46" applyNumberFormat="1" applyFon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65" fontId="0" fillId="0" borderId="0" xfId="46" applyNumberForma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3" xfId="46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165" fontId="0" fillId="0" borderId="0" xfId="46" applyNumberFormat="1" applyFont="1" applyFill="1" applyBorder="1" applyAlignment="1" applyProtection="1">
      <alignment horizontal="right" vertical="center"/>
      <protection/>
    </xf>
    <xf numFmtId="3" fontId="0" fillId="0" borderId="33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13" fillId="0" borderId="36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3" fontId="2" fillId="37" borderId="32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165" fontId="2" fillId="37" borderId="12" xfId="46" applyNumberFormat="1" applyFont="1" applyFill="1" applyBorder="1" applyAlignment="1" applyProtection="1">
      <alignment horizontal="center"/>
      <protection/>
    </xf>
    <xf numFmtId="3" fontId="2" fillId="0" borderId="38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167" fontId="0" fillId="0" borderId="23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center"/>
    </xf>
    <xf numFmtId="3" fontId="0" fillId="36" borderId="14" xfId="0" applyNumberFormat="1" applyFont="1" applyFill="1" applyBorder="1" applyAlignment="1">
      <alignment/>
    </xf>
    <xf numFmtId="167" fontId="0" fillId="36" borderId="14" xfId="0" applyNumberFormat="1" applyFont="1" applyFill="1" applyBorder="1" applyAlignment="1">
      <alignment/>
    </xf>
    <xf numFmtId="165" fontId="0" fillId="36" borderId="14" xfId="46" applyNumberFormat="1" applyFill="1" applyBorder="1" applyAlignment="1" applyProtection="1">
      <alignment/>
      <protection/>
    </xf>
    <xf numFmtId="167" fontId="0" fillId="36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>
      <alignment/>
    </xf>
    <xf numFmtId="3" fontId="0" fillId="33" borderId="29" xfId="0" applyNumberFormat="1" applyFont="1" applyFill="1" applyBorder="1" applyAlignment="1">
      <alignment horizontal="center" vertical="center"/>
    </xf>
    <xf numFmtId="3" fontId="0" fillId="33" borderId="31" xfId="0" applyNumberFormat="1" applyFont="1" applyFill="1" applyBorder="1" applyAlignment="1">
      <alignment horizontal="center" vertical="center"/>
    </xf>
    <xf numFmtId="165" fontId="2" fillId="33" borderId="29" xfId="46" applyNumberFormat="1" applyFont="1" applyFill="1" applyBorder="1" applyAlignment="1" applyProtection="1">
      <alignment horizontal="center"/>
      <protection/>
    </xf>
    <xf numFmtId="3" fontId="13" fillId="0" borderId="11" xfId="0" applyNumberFormat="1" applyFont="1" applyFill="1" applyBorder="1" applyAlignment="1">
      <alignment horizontal="right"/>
    </xf>
    <xf numFmtId="3" fontId="13" fillId="0" borderId="33" xfId="0" applyNumberFormat="1" applyFont="1" applyFill="1" applyBorder="1" applyAlignment="1">
      <alignment/>
    </xf>
    <xf numFmtId="165" fontId="13" fillId="0" borderId="11" xfId="46" applyNumberFormat="1" applyFont="1" applyFill="1" applyBorder="1" applyAlignment="1" applyProtection="1">
      <alignment/>
      <protection/>
    </xf>
    <xf numFmtId="3" fontId="13" fillId="0" borderId="36" xfId="0" applyNumberFormat="1" applyFont="1" applyFill="1" applyBorder="1" applyAlignment="1">
      <alignment horizontal="right"/>
    </xf>
    <xf numFmtId="165" fontId="13" fillId="0" borderId="36" xfId="46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165" fontId="2" fillId="33" borderId="25" xfId="46" applyNumberFormat="1" applyFont="1" applyFill="1" applyBorder="1" applyAlignment="1" applyProtection="1">
      <alignment horizontal="center" vertical="center" wrapText="1"/>
      <protection/>
    </xf>
    <xf numFmtId="165" fontId="2" fillId="33" borderId="39" xfId="46" applyNumberFormat="1" applyFont="1" applyFill="1" applyBorder="1" applyAlignment="1" applyProtection="1">
      <alignment horizontal="center" vertical="center" wrapText="1"/>
      <protection/>
    </xf>
    <xf numFmtId="165" fontId="2" fillId="33" borderId="21" xfId="46" applyNumberFormat="1" applyFont="1" applyFill="1" applyBorder="1" applyAlignment="1" applyProtection="1">
      <alignment horizontal="center" vertical="center"/>
      <protection/>
    </xf>
    <xf numFmtId="3" fontId="2" fillId="0" borderId="29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165" fontId="2" fillId="0" borderId="21" xfId="46" applyNumberFormat="1" applyFont="1" applyFill="1" applyBorder="1" applyAlignment="1" applyProtection="1">
      <alignment horizontal="center" vertical="center"/>
      <protection/>
    </xf>
    <xf numFmtId="165" fontId="0" fillId="0" borderId="26" xfId="46" applyNumberFormat="1" applyFill="1" applyBorder="1" applyAlignment="1" applyProtection="1">
      <alignment horizontal="center" vertical="center"/>
      <protection/>
    </xf>
    <xf numFmtId="165" fontId="2" fillId="0" borderId="26" xfId="46" applyNumberFormat="1" applyFont="1" applyFill="1" applyBorder="1" applyAlignment="1" applyProtection="1">
      <alignment horizontal="center" vertical="center"/>
      <protection/>
    </xf>
    <xf numFmtId="3" fontId="5" fillId="36" borderId="0" xfId="0" applyNumberFormat="1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 horizontal="left"/>
    </xf>
    <xf numFmtId="165" fontId="5" fillId="36" borderId="0" xfId="46" applyNumberFormat="1" applyFont="1" applyFill="1" applyBorder="1" applyAlignment="1" applyProtection="1">
      <alignment/>
      <protection/>
    </xf>
    <xf numFmtId="165" fontId="2" fillId="33" borderId="19" xfId="46" applyNumberFormat="1" applyFont="1" applyFill="1" applyBorder="1" applyAlignment="1" applyProtection="1">
      <alignment horizontal="center" vertical="center" wrapText="1"/>
      <protection/>
    </xf>
    <xf numFmtId="165" fontId="2" fillId="33" borderId="26" xfId="46" applyNumberFormat="1" applyFont="1" applyFill="1" applyBorder="1" applyAlignment="1" applyProtection="1">
      <alignment horizontal="center" vertical="center"/>
      <protection/>
    </xf>
    <xf numFmtId="167" fontId="2" fillId="0" borderId="23" xfId="0" applyNumberFormat="1" applyFont="1" applyBorder="1" applyAlignment="1">
      <alignment/>
    </xf>
    <xf numFmtId="165" fontId="2" fillId="0" borderId="40" xfId="46" applyNumberFormat="1" applyFont="1" applyFill="1" applyBorder="1" applyAlignment="1" applyProtection="1">
      <alignment horizontal="center" vertical="center"/>
      <protection/>
    </xf>
    <xf numFmtId="165" fontId="0" fillId="0" borderId="40" xfId="46" applyNumberFormat="1" applyFill="1" applyBorder="1" applyAlignment="1" applyProtection="1">
      <alignment horizontal="center" vertical="center"/>
      <protection/>
    </xf>
    <xf numFmtId="3" fontId="2" fillId="0" borderId="3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41" xfId="0" applyNumberFormat="1" applyFont="1" applyBorder="1" applyAlignment="1">
      <alignment horizontal="center"/>
    </xf>
    <xf numFmtId="3" fontId="8" fillId="0" borderId="34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 horizontal="center" vertical="center" wrapText="1"/>
    </xf>
    <xf numFmtId="165" fontId="2" fillId="33" borderId="42" xfId="46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left" wrapText="1"/>
    </xf>
    <xf numFmtId="167" fontId="2" fillId="0" borderId="14" xfId="0" applyNumberFormat="1" applyFont="1" applyFill="1" applyBorder="1" applyAlignment="1">
      <alignment horizontal="center"/>
    </xf>
    <xf numFmtId="0" fontId="21" fillId="0" borderId="0" xfId="0" applyFont="1" applyAlignment="1">
      <alignment horizontal="justify" vertical="center"/>
    </xf>
    <xf numFmtId="3" fontId="0" fillId="0" borderId="11" xfId="0" applyNumberFormat="1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67" fontId="2" fillId="36" borderId="12" xfId="0" applyNumberFormat="1" applyFont="1" applyFill="1" applyBorder="1" applyAlignment="1">
      <alignment horizontal="center"/>
    </xf>
    <xf numFmtId="167" fontId="0" fillId="36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3" fontId="19" fillId="0" borderId="0" xfId="0" applyNumberFormat="1" applyFont="1" applyBorder="1" applyAlignment="1">
      <alignment horizontal="right"/>
    </xf>
    <xf numFmtId="3" fontId="19" fillId="0" borderId="12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3" fontId="26" fillId="0" borderId="16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horizontal="center"/>
    </xf>
    <xf numFmtId="3" fontId="19" fillId="0" borderId="32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 horizontal="center"/>
    </xf>
    <xf numFmtId="3" fontId="26" fillId="0" borderId="32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36" borderId="12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 horizontal="center"/>
    </xf>
    <xf numFmtId="3" fontId="26" fillId="0" borderId="33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3" fontId="26" fillId="0" borderId="11" xfId="0" applyNumberFormat="1" applyFont="1" applyFill="1" applyBorder="1" applyAlignment="1">
      <alignment horizontal="center"/>
    </xf>
    <xf numFmtId="3" fontId="19" fillId="0" borderId="23" xfId="0" applyNumberFormat="1" applyFont="1" applyFill="1" applyBorder="1" applyAlignment="1">
      <alignment horizontal="center"/>
    </xf>
    <xf numFmtId="3" fontId="19" fillId="0" borderId="43" xfId="0" applyNumberFormat="1" applyFont="1" applyFill="1" applyBorder="1" applyAlignment="1">
      <alignment/>
    </xf>
    <xf numFmtId="3" fontId="26" fillId="0" borderId="23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 horizontal="center"/>
    </xf>
    <xf numFmtId="3" fontId="29" fillId="33" borderId="25" xfId="0" applyNumberFormat="1" applyFont="1" applyFill="1" applyBorder="1" applyAlignment="1">
      <alignment/>
    </xf>
    <xf numFmtId="3" fontId="26" fillId="33" borderId="39" xfId="0" applyNumberFormat="1" applyFont="1" applyFill="1" applyBorder="1" applyAlignment="1">
      <alignment/>
    </xf>
    <xf numFmtId="3" fontId="19" fillId="33" borderId="45" xfId="0" applyNumberFormat="1" applyFont="1" applyFill="1" applyBorder="1" applyAlignment="1">
      <alignment horizontal="center"/>
    </xf>
    <xf numFmtId="3" fontId="19" fillId="33" borderId="14" xfId="0" applyNumberFormat="1" applyFont="1" applyFill="1" applyBorder="1" applyAlignment="1">
      <alignment/>
    </xf>
    <xf numFmtId="3" fontId="19" fillId="33" borderId="46" xfId="0" applyNumberFormat="1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 horizontal="left"/>
    </xf>
    <xf numFmtId="3" fontId="19" fillId="33" borderId="47" xfId="0" applyNumberFormat="1" applyFont="1" applyFill="1" applyBorder="1" applyAlignment="1">
      <alignment horizontal="center"/>
    </xf>
    <xf numFmtId="3" fontId="19" fillId="33" borderId="23" xfId="0" applyNumberFormat="1" applyFont="1" applyFill="1" applyBorder="1" applyAlignment="1">
      <alignment/>
    </xf>
    <xf numFmtId="0" fontId="28" fillId="38" borderId="0" xfId="0" applyFont="1" applyFill="1" applyAlignment="1">
      <alignment/>
    </xf>
    <xf numFmtId="3" fontId="28" fillId="38" borderId="0" xfId="0" applyNumberFormat="1" applyFont="1" applyFill="1" applyAlignment="1">
      <alignment/>
    </xf>
    <xf numFmtId="0" fontId="2" fillId="0" borderId="23" xfId="0" applyFont="1" applyBorder="1" applyAlignment="1">
      <alignment horizontal="center" vertical="center"/>
    </xf>
    <xf numFmtId="165" fontId="0" fillId="0" borderId="12" xfId="46" applyNumberFormat="1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165" fontId="0" fillId="0" borderId="23" xfId="46" applyNumberFormat="1" applyFont="1" applyFill="1" applyBorder="1" applyAlignment="1" applyProtection="1">
      <alignment/>
      <protection/>
    </xf>
    <xf numFmtId="165" fontId="2" fillId="0" borderId="25" xfId="46" applyNumberFormat="1" applyFont="1" applyFill="1" applyBorder="1" applyAlignment="1" applyProtection="1">
      <alignment/>
      <protection/>
    </xf>
    <xf numFmtId="165" fontId="8" fillId="0" borderId="14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165" fontId="0" fillId="0" borderId="14" xfId="46" applyNumberFormat="1" applyFont="1" applyFill="1" applyBorder="1" applyAlignment="1" applyProtection="1">
      <alignment/>
      <protection/>
    </xf>
    <xf numFmtId="165" fontId="2" fillId="0" borderId="14" xfId="46" applyNumberFormat="1" applyFont="1" applyFill="1" applyBorder="1" applyAlignment="1" applyProtection="1">
      <alignment/>
      <protection/>
    </xf>
    <xf numFmtId="165" fontId="8" fillId="0" borderId="12" xfId="46" applyNumberFormat="1" applyFont="1" applyFill="1" applyBorder="1" applyAlignment="1" applyProtection="1">
      <alignment horizontal="center"/>
      <protection/>
    </xf>
    <xf numFmtId="165" fontId="8" fillId="0" borderId="23" xfId="46" applyNumberFormat="1" applyFont="1" applyFill="1" applyBorder="1" applyAlignment="1" applyProtection="1">
      <alignment horizontal="center"/>
      <protection/>
    </xf>
    <xf numFmtId="3" fontId="2" fillId="33" borderId="36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165" fontId="2" fillId="0" borderId="10" xfId="46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165" fontId="0" fillId="0" borderId="12" xfId="46" applyNumberFormat="1" applyFill="1" applyBorder="1" applyAlignment="1" applyProtection="1">
      <alignment vertical="center" wrapText="1"/>
      <protection/>
    </xf>
    <xf numFmtId="0" fontId="0" fillId="36" borderId="29" xfId="0" applyFont="1" applyFill="1" applyBorder="1" applyAlignment="1">
      <alignment horizontal="center"/>
    </xf>
    <xf numFmtId="165" fontId="0" fillId="36" borderId="23" xfId="46" applyNumberForma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3" fontId="0" fillId="36" borderId="12" xfId="0" applyNumberFormat="1" applyFont="1" applyFill="1" applyBorder="1" applyAlignment="1">
      <alignment/>
    </xf>
    <xf numFmtId="165" fontId="0" fillId="36" borderId="33" xfId="46" applyNumberFormat="1" applyFill="1" applyBorder="1" applyAlignment="1" applyProtection="1">
      <alignment/>
      <protection/>
    </xf>
    <xf numFmtId="3" fontId="2" fillId="36" borderId="12" xfId="0" applyNumberFormat="1" applyFont="1" applyFill="1" applyBorder="1" applyAlignment="1">
      <alignment horizontal="right"/>
    </xf>
    <xf numFmtId="165" fontId="2" fillId="36" borderId="33" xfId="46" applyNumberFormat="1" applyFont="1" applyFill="1" applyBorder="1" applyAlignment="1" applyProtection="1">
      <alignment/>
      <protection/>
    </xf>
    <xf numFmtId="0" fontId="2" fillId="36" borderId="29" xfId="0" applyFont="1" applyFill="1" applyBorder="1" applyAlignment="1">
      <alignment horizontal="center"/>
    </xf>
    <xf numFmtId="165" fontId="0" fillId="0" borderId="33" xfId="46" applyNumberFormat="1" applyFill="1" applyBorder="1" applyAlignment="1" applyProtection="1">
      <alignment/>
      <protection/>
    </xf>
    <xf numFmtId="165" fontId="0" fillId="0" borderId="31" xfId="46" applyNumberFormat="1" applyFill="1" applyBorder="1" applyAlignment="1" applyProtection="1">
      <alignment/>
      <protection/>
    </xf>
    <xf numFmtId="0" fontId="0" fillId="36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left" wrapText="1"/>
    </xf>
    <xf numFmtId="0" fontId="2" fillId="35" borderId="0" xfId="0" applyFont="1" applyFill="1" applyAlignment="1">
      <alignment horizontal="center"/>
    </xf>
    <xf numFmtId="0" fontId="2" fillId="35" borderId="42" xfId="0" applyFont="1" applyFill="1" applyBorder="1" applyAlignment="1">
      <alignment/>
    </xf>
    <xf numFmtId="0" fontId="2" fillId="35" borderId="48" xfId="0" applyFont="1" applyFill="1" applyBorder="1" applyAlignment="1">
      <alignment wrapText="1"/>
    </xf>
    <xf numFmtId="0" fontId="2" fillId="35" borderId="49" xfId="0" applyFont="1" applyFill="1" applyBorder="1" applyAlignment="1">
      <alignment/>
    </xf>
    <xf numFmtId="165" fontId="2" fillId="35" borderId="12" xfId="46" applyNumberFormat="1" applyFont="1" applyFill="1" applyBorder="1" applyAlignment="1" applyProtection="1">
      <alignment/>
      <protection/>
    </xf>
    <xf numFmtId="165" fontId="2" fillId="35" borderId="18" xfId="46" applyNumberFormat="1" applyFont="1" applyFill="1" applyBorder="1" applyAlignment="1" applyProtection="1">
      <alignment/>
      <protection/>
    </xf>
    <xf numFmtId="165" fontId="2" fillId="35" borderId="19" xfId="46" applyNumberFormat="1" applyFont="1" applyFill="1" applyBorder="1" applyAlignment="1" applyProtection="1">
      <alignment/>
      <protection/>
    </xf>
    <xf numFmtId="0" fontId="8" fillId="35" borderId="20" xfId="0" applyFont="1" applyFill="1" applyBorder="1" applyAlignment="1">
      <alignment/>
    </xf>
    <xf numFmtId="165" fontId="8" fillId="35" borderId="14" xfId="46" applyNumberFormat="1" applyFont="1" applyFill="1" applyBorder="1" applyAlignment="1" applyProtection="1">
      <alignment/>
      <protection/>
    </xf>
    <xf numFmtId="165" fontId="8" fillId="35" borderId="21" xfId="46" applyNumberFormat="1" applyFont="1" applyFill="1" applyBorder="1" applyAlignment="1" applyProtection="1">
      <alignment/>
      <protection/>
    </xf>
    <xf numFmtId="0" fontId="8" fillId="35" borderId="0" xfId="0" applyFont="1" applyFill="1" applyAlignment="1">
      <alignment/>
    </xf>
    <xf numFmtId="0" fontId="8" fillId="35" borderId="22" xfId="0" applyFont="1" applyFill="1" applyBorder="1" applyAlignment="1">
      <alignment/>
    </xf>
    <xf numFmtId="165" fontId="8" fillId="35" borderId="12" xfId="46" applyNumberFormat="1" applyFont="1" applyFill="1" applyBorder="1" applyAlignment="1" applyProtection="1">
      <alignment/>
      <protection/>
    </xf>
    <xf numFmtId="0" fontId="2" fillId="35" borderId="22" xfId="0" applyFont="1" applyFill="1" applyBorder="1" applyAlignment="1">
      <alignment/>
    </xf>
    <xf numFmtId="165" fontId="2" fillId="35" borderId="26" xfId="46" applyNumberFormat="1" applyFont="1" applyFill="1" applyBorder="1" applyAlignment="1" applyProtection="1">
      <alignment/>
      <protection/>
    </xf>
    <xf numFmtId="165" fontId="8" fillId="35" borderId="26" xfId="46" applyNumberFormat="1" applyFont="1" applyFill="1" applyBorder="1" applyAlignment="1" applyProtection="1">
      <alignment/>
      <protection/>
    </xf>
    <xf numFmtId="165" fontId="2" fillId="35" borderId="14" xfId="46" applyNumberFormat="1" applyFont="1" applyFill="1" applyBorder="1" applyAlignment="1" applyProtection="1">
      <alignment/>
      <protection/>
    </xf>
    <xf numFmtId="165" fontId="2" fillId="35" borderId="21" xfId="46" applyNumberFormat="1" applyFont="1" applyFill="1" applyBorder="1" applyAlignment="1" applyProtection="1">
      <alignment/>
      <protection/>
    </xf>
    <xf numFmtId="0" fontId="2" fillId="35" borderId="50" xfId="0" applyFont="1" applyFill="1" applyBorder="1" applyAlignment="1">
      <alignment/>
    </xf>
    <xf numFmtId="165" fontId="2" fillId="35" borderId="42" xfId="46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/>
    </xf>
    <xf numFmtId="3" fontId="26" fillId="0" borderId="33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33" borderId="51" xfId="0" applyNumberFormat="1" applyFont="1" applyFill="1" applyBorder="1" applyAlignment="1">
      <alignment horizontal="center" vertical="center" wrapText="1"/>
    </xf>
    <xf numFmtId="165" fontId="2" fillId="33" borderId="51" xfId="46" applyNumberFormat="1" applyFont="1" applyFill="1" applyBorder="1" applyAlignment="1" applyProtection="1">
      <alignment horizontal="center"/>
      <protection/>
    </xf>
    <xf numFmtId="3" fontId="0" fillId="0" borderId="33" xfId="0" applyNumberFormat="1" applyFont="1" applyFill="1" applyBorder="1" applyAlignment="1">
      <alignment horizontal="center"/>
    </xf>
    <xf numFmtId="3" fontId="2" fillId="39" borderId="16" xfId="0" applyNumberFormat="1" applyFont="1" applyFill="1" applyBorder="1" applyAlignment="1">
      <alignment horizontal="center"/>
    </xf>
    <xf numFmtId="3" fontId="2" fillId="39" borderId="34" xfId="0" applyNumberFormat="1" applyFont="1" applyFill="1" applyBorder="1" applyAlignment="1">
      <alignment horizontal="center"/>
    </xf>
    <xf numFmtId="3" fontId="2" fillId="39" borderId="23" xfId="0" applyNumberFormat="1" applyFont="1" applyFill="1" applyBorder="1" applyAlignment="1">
      <alignment/>
    </xf>
    <xf numFmtId="165" fontId="2" fillId="39" borderId="23" xfId="46" applyNumberFormat="1" applyFont="1" applyFill="1" applyBorder="1" applyAlignment="1" applyProtection="1">
      <alignment/>
      <protection/>
    </xf>
    <xf numFmtId="0" fontId="0" fillId="39" borderId="12" xfId="0" applyFill="1" applyBorder="1" applyAlignment="1">
      <alignment/>
    </xf>
    <xf numFmtId="3" fontId="4" fillId="39" borderId="12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165" fontId="2" fillId="39" borderId="12" xfId="46" applyNumberFormat="1" applyFont="1" applyFill="1" applyBorder="1" applyAlignment="1" applyProtection="1">
      <alignment/>
      <protection/>
    </xf>
    <xf numFmtId="0" fontId="2" fillId="0" borderId="33" xfId="0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39" borderId="33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center"/>
    </xf>
    <xf numFmtId="0" fontId="33" fillId="0" borderId="23" xfId="0" applyFont="1" applyFill="1" applyBorder="1" applyAlignment="1">
      <alignment horizontal="left" wrapText="1"/>
    </xf>
    <xf numFmtId="165" fontId="33" fillId="36" borderId="23" xfId="46" applyNumberFormat="1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3" fontId="34" fillId="0" borderId="11" xfId="0" applyNumberFormat="1" applyFont="1" applyFill="1" applyBorder="1" applyAlignment="1">
      <alignment horizontal="center"/>
    </xf>
    <xf numFmtId="165" fontId="33" fillId="36" borderId="12" xfId="46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3" fontId="0" fillId="0" borderId="23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3" fontId="0" fillId="0" borderId="52" xfId="0" applyNumberFormat="1" applyFont="1" applyFill="1" applyBorder="1" applyAlignment="1">
      <alignment horizontal="center"/>
    </xf>
    <xf numFmtId="3" fontId="2" fillId="0" borderId="53" xfId="0" applyNumberFormat="1" applyFont="1" applyFill="1" applyBorder="1" applyAlignment="1">
      <alignment horizontal="center"/>
    </xf>
    <xf numFmtId="0" fontId="2" fillId="0" borderId="54" xfId="0" applyFont="1" applyBorder="1" applyAlignment="1">
      <alignment/>
    </xf>
    <xf numFmtId="165" fontId="1" fillId="36" borderId="54" xfId="46" applyNumberFormat="1" applyFont="1" applyFill="1" applyBorder="1" applyAlignment="1" applyProtection="1">
      <alignment/>
      <protection/>
    </xf>
    <xf numFmtId="0" fontId="0" fillId="0" borderId="23" xfId="0" applyFont="1" applyBorder="1" applyAlignment="1">
      <alignment wrapText="1"/>
    </xf>
    <xf numFmtId="165" fontId="0" fillId="36" borderId="23" xfId="4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wrapText="1"/>
    </xf>
    <xf numFmtId="165" fontId="8" fillId="36" borderId="14" xfId="46" applyNumberFormat="1" applyFont="1" applyFill="1" applyBorder="1" applyAlignment="1" applyProtection="1">
      <alignment/>
      <protection/>
    </xf>
    <xf numFmtId="165" fontId="2" fillId="36" borderId="54" xfId="4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0" fontId="0" fillId="0" borderId="14" xfId="0" applyFont="1" applyBorder="1" applyAlignment="1">
      <alignment horizontal="left" wrapText="1"/>
    </xf>
    <xf numFmtId="3" fontId="2" fillId="37" borderId="55" xfId="0" applyNumberFormat="1" applyFont="1" applyFill="1" applyBorder="1" applyAlignment="1">
      <alignment horizontal="center" vertical="center"/>
    </xf>
    <xf numFmtId="3" fontId="2" fillId="37" borderId="56" xfId="0" applyNumberFormat="1" applyFont="1" applyFill="1" applyBorder="1" applyAlignment="1">
      <alignment horizontal="center" vertical="center" wrapText="1"/>
    </xf>
    <xf numFmtId="3" fontId="0" fillId="0" borderId="57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58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3" fontId="0" fillId="0" borderId="30" xfId="0" applyNumberFormat="1" applyFont="1" applyBorder="1" applyAlignment="1">
      <alignment wrapText="1"/>
    </xf>
    <xf numFmtId="3" fontId="33" fillId="0" borderId="30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9" fontId="33" fillId="0" borderId="12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2" fillId="40" borderId="30" xfId="0" applyNumberFormat="1" applyFont="1" applyFill="1" applyBorder="1" applyAlignment="1">
      <alignment wrapText="1"/>
    </xf>
    <xf numFmtId="3" fontId="2" fillId="40" borderId="12" xfId="0" applyNumberFormat="1" applyFont="1" applyFill="1" applyBorder="1" applyAlignment="1">
      <alignment/>
    </xf>
    <xf numFmtId="3" fontId="2" fillId="40" borderId="0" xfId="0" applyNumberFormat="1" applyFont="1" applyFill="1" applyAlignment="1">
      <alignment/>
    </xf>
    <xf numFmtId="3" fontId="0" fillId="0" borderId="41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57" xfId="0" applyNumberFormat="1" applyFont="1" applyBorder="1" applyAlignment="1">
      <alignment wrapText="1"/>
    </xf>
    <xf numFmtId="3" fontId="2" fillId="37" borderId="59" xfId="0" applyNumberFormat="1" applyFont="1" applyFill="1" applyBorder="1" applyAlignment="1">
      <alignment vertical="center" wrapText="1"/>
    </xf>
    <xf numFmtId="3" fontId="2" fillId="37" borderId="54" xfId="0" applyNumberFormat="1" applyFont="1" applyFill="1" applyBorder="1" applyAlignment="1">
      <alignment vertical="center"/>
    </xf>
    <xf numFmtId="3" fontId="33" fillId="0" borderId="41" xfId="0" applyNumberFormat="1" applyFont="1" applyBorder="1" applyAlignment="1">
      <alignment/>
    </xf>
    <xf numFmtId="3" fontId="33" fillId="0" borderId="23" xfId="0" applyNumberFormat="1" applyFont="1" applyBorder="1" applyAlignment="1">
      <alignment/>
    </xf>
    <xf numFmtId="3" fontId="2" fillId="33" borderId="59" xfId="0" applyNumberFormat="1" applyFont="1" applyFill="1" applyBorder="1" applyAlignment="1">
      <alignment wrapText="1"/>
    </xf>
    <xf numFmtId="3" fontId="2" fillId="33" borderId="54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 horizontal="center" vertical="center"/>
    </xf>
    <xf numFmtId="3" fontId="2" fillId="33" borderId="61" xfId="0" applyNumberFormat="1" applyFont="1" applyFill="1" applyBorder="1" applyAlignment="1">
      <alignment horizontal="center" vertical="center" wrapText="1"/>
    </xf>
    <xf numFmtId="3" fontId="2" fillId="33" borderId="62" xfId="0" applyNumberFormat="1" applyFont="1" applyFill="1" applyBorder="1" applyAlignment="1">
      <alignment horizontal="center" vertical="center" wrapText="1"/>
    </xf>
    <xf numFmtId="3" fontId="2" fillId="33" borderId="63" xfId="0" applyNumberFormat="1" applyFont="1" applyFill="1" applyBorder="1" applyAlignment="1">
      <alignment horizontal="center" vertical="center"/>
    </xf>
    <xf numFmtId="3" fontId="2" fillId="33" borderId="64" xfId="0" applyNumberFormat="1" applyFont="1" applyFill="1" applyBorder="1" applyAlignment="1">
      <alignment horizontal="center" vertical="center"/>
    </xf>
    <xf numFmtId="3" fontId="2" fillId="41" borderId="59" xfId="0" applyNumberFormat="1" applyFont="1" applyFill="1" applyBorder="1" applyAlignment="1">
      <alignment wrapText="1"/>
    </xf>
    <xf numFmtId="3" fontId="2" fillId="37" borderId="65" xfId="0" applyNumberFormat="1" applyFont="1" applyFill="1" applyBorder="1" applyAlignment="1">
      <alignment/>
    </xf>
    <xf numFmtId="3" fontId="2" fillId="37" borderId="66" xfId="0" applyNumberFormat="1" applyFon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3" fontId="13" fillId="0" borderId="58" xfId="0" applyNumberFormat="1" applyFont="1" applyFill="1" applyBorder="1" applyAlignment="1">
      <alignment/>
    </xf>
    <xf numFmtId="3" fontId="33" fillId="0" borderId="58" xfId="0" applyNumberFormat="1" applyFont="1" applyFill="1" applyBorder="1" applyAlignment="1">
      <alignment/>
    </xf>
    <xf numFmtId="3" fontId="33" fillId="0" borderId="0" xfId="0" applyNumberFormat="1" applyFont="1" applyFill="1" applyAlignment="1">
      <alignment/>
    </xf>
    <xf numFmtId="3" fontId="0" fillId="0" borderId="67" xfId="0" applyNumberForma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2" fillId="41" borderId="69" xfId="0" applyNumberFormat="1" applyFont="1" applyFill="1" applyBorder="1" applyAlignment="1">
      <alignment/>
    </xf>
    <xf numFmtId="3" fontId="33" fillId="0" borderId="67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68" xfId="0" applyNumberFormat="1" applyFont="1" applyFill="1" applyBorder="1" applyAlignment="1">
      <alignment/>
    </xf>
    <xf numFmtId="3" fontId="8" fillId="0" borderId="68" xfId="0" applyNumberFormat="1" applyFont="1" applyFill="1" applyBorder="1" applyAlignment="1">
      <alignment wrapText="1"/>
    </xf>
    <xf numFmtId="3" fontId="13" fillId="0" borderId="68" xfId="0" applyNumberFormat="1" applyFont="1" applyFill="1" applyBorder="1" applyAlignment="1">
      <alignment/>
    </xf>
    <xf numFmtId="3" fontId="8" fillId="0" borderId="58" xfId="0" applyNumberFormat="1" applyFont="1" applyFill="1" applyBorder="1" applyAlignment="1">
      <alignment wrapText="1"/>
    </xf>
    <xf numFmtId="3" fontId="2" fillId="33" borderId="6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0" fillId="40" borderId="30" xfId="0" applyNumberFormat="1" applyFont="1" applyFill="1" applyBorder="1" applyAlignment="1">
      <alignment wrapText="1"/>
    </xf>
    <xf numFmtId="3" fontId="2" fillId="0" borderId="70" xfId="0" applyNumberFormat="1" applyFont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5" fontId="0" fillId="0" borderId="71" xfId="46" applyNumberFormat="1" applyFill="1" applyBorder="1" applyAlignment="1" applyProtection="1">
      <alignment/>
      <protection/>
    </xf>
    <xf numFmtId="3" fontId="0" fillId="40" borderId="58" xfId="0" applyNumberFormat="1" applyFont="1" applyFill="1" applyBorder="1" applyAlignment="1">
      <alignment wrapText="1"/>
    </xf>
    <xf numFmtId="3" fontId="33" fillId="0" borderId="58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42" borderId="58" xfId="0" applyNumberFormat="1" applyFont="1" applyFill="1" applyBorder="1" applyAlignment="1">
      <alignment wrapText="1"/>
    </xf>
    <xf numFmtId="165" fontId="2" fillId="0" borderId="33" xfId="46" applyNumberFormat="1" applyFont="1" applyFill="1" applyBorder="1" applyAlignment="1" applyProtection="1">
      <alignment/>
      <protection/>
    </xf>
    <xf numFmtId="3" fontId="2" fillId="40" borderId="58" xfId="0" applyNumberFormat="1" applyFont="1" applyFill="1" applyBorder="1" applyAlignment="1">
      <alignment wrapText="1"/>
    </xf>
    <xf numFmtId="3" fontId="2" fillId="43" borderId="58" xfId="0" applyNumberFormat="1" applyFont="1" applyFill="1" applyBorder="1" applyAlignment="1">
      <alignment/>
    </xf>
    <xf numFmtId="3" fontId="2" fillId="40" borderId="58" xfId="0" applyNumberFormat="1" applyFont="1" applyFill="1" applyBorder="1" applyAlignment="1">
      <alignment/>
    </xf>
    <xf numFmtId="3" fontId="32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3" fontId="32" fillId="0" borderId="12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165" fontId="32" fillId="0" borderId="33" xfId="46" applyNumberFormat="1" applyFont="1" applyFill="1" applyBorder="1" applyAlignment="1" applyProtection="1">
      <alignment/>
      <protection/>
    </xf>
    <xf numFmtId="165" fontId="32" fillId="0" borderId="12" xfId="46" applyNumberFormat="1" applyFont="1" applyFill="1" applyBorder="1" applyAlignment="1" applyProtection="1">
      <alignment/>
      <protection/>
    </xf>
    <xf numFmtId="3" fontId="33" fillId="0" borderId="58" xfId="0" applyNumberFormat="1" applyFont="1" applyBorder="1" applyAlignment="1">
      <alignment horizontal="center"/>
    </xf>
    <xf numFmtId="3" fontId="14" fillId="0" borderId="70" xfId="0" applyNumberFormat="1" applyFont="1" applyBorder="1" applyAlignment="1">
      <alignment horizontal="center"/>
    </xf>
    <xf numFmtId="3" fontId="33" fillId="0" borderId="58" xfId="0" applyNumberFormat="1" applyFont="1" applyBorder="1" applyAlignment="1">
      <alignment wrapText="1"/>
    </xf>
    <xf numFmtId="3" fontId="4" fillId="0" borderId="58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165" fontId="0" fillId="0" borderId="71" xfId="46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center"/>
    </xf>
    <xf numFmtId="3" fontId="0" fillId="0" borderId="67" xfId="0" applyNumberFormat="1" applyFont="1" applyFill="1" applyBorder="1" applyAlignment="1">
      <alignment/>
    </xf>
    <xf numFmtId="3" fontId="33" fillId="0" borderId="68" xfId="0" applyNumberFormat="1" applyFont="1" applyBorder="1" applyAlignment="1">
      <alignment horizontal="center"/>
    </xf>
    <xf numFmtId="3" fontId="14" fillId="0" borderId="72" xfId="0" applyNumberFormat="1" applyFont="1" applyBorder="1" applyAlignment="1">
      <alignment horizontal="center"/>
    </xf>
    <xf numFmtId="3" fontId="33" fillId="0" borderId="68" xfId="0" applyNumberFormat="1" applyFont="1" applyBorder="1" applyAlignment="1">
      <alignment horizontal="left" wrapText="1"/>
    </xf>
    <xf numFmtId="165" fontId="33" fillId="0" borderId="73" xfId="46" applyNumberFormat="1" applyFont="1" applyFill="1" applyBorder="1" applyAlignment="1" applyProtection="1">
      <alignment/>
      <protection/>
    </xf>
    <xf numFmtId="3" fontId="2" fillId="33" borderId="74" xfId="0" applyNumberFormat="1" applyFont="1" applyFill="1" applyBorder="1" applyAlignment="1">
      <alignment horizontal="center" vertical="center"/>
    </xf>
    <xf numFmtId="165" fontId="2" fillId="33" borderId="66" xfId="46" applyNumberFormat="1" applyFont="1" applyFill="1" applyBorder="1" applyAlignment="1" applyProtection="1">
      <alignment horizontal="center" vertical="center" wrapText="1"/>
      <protection/>
    </xf>
    <xf numFmtId="165" fontId="2" fillId="33" borderId="75" xfId="46" applyNumberFormat="1" applyFont="1" applyFill="1" applyBorder="1" applyAlignment="1" applyProtection="1">
      <alignment horizontal="center" vertical="center" wrapText="1"/>
      <protection/>
    </xf>
    <xf numFmtId="3" fontId="2" fillId="33" borderId="76" xfId="0" applyNumberFormat="1" applyFont="1" applyFill="1" applyBorder="1" applyAlignment="1">
      <alignment horizontal="center" vertical="center"/>
    </xf>
    <xf numFmtId="165" fontId="2" fillId="33" borderId="76" xfId="46" applyNumberFormat="1" applyFont="1" applyFill="1" applyBorder="1" applyAlignment="1" applyProtection="1">
      <alignment horizontal="center"/>
      <protection/>
    </xf>
    <xf numFmtId="165" fontId="2" fillId="33" borderId="77" xfId="46" applyNumberFormat="1" applyFont="1" applyFill="1" applyBorder="1" applyAlignment="1" applyProtection="1">
      <alignment horizontal="center"/>
      <protection/>
    </xf>
    <xf numFmtId="3" fontId="4" fillId="0" borderId="23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40" borderId="67" xfId="0" applyNumberFormat="1" applyFont="1" applyFill="1" applyBorder="1" applyAlignment="1">
      <alignment/>
    </xf>
    <xf numFmtId="165" fontId="2" fillId="0" borderId="34" xfId="46" applyNumberFormat="1" applyFont="1" applyFill="1" applyBorder="1" applyAlignment="1" applyProtection="1">
      <alignment/>
      <protection/>
    </xf>
    <xf numFmtId="3" fontId="5" fillId="33" borderId="52" xfId="0" applyNumberFormat="1" applyFont="1" applyFill="1" applyBorder="1" applyAlignment="1">
      <alignment horizontal="center"/>
    </xf>
    <xf numFmtId="3" fontId="18" fillId="33" borderId="54" xfId="0" applyNumberFormat="1" applyFont="1" applyFill="1" applyBorder="1" applyAlignment="1">
      <alignment horizontal="center"/>
    </xf>
    <xf numFmtId="3" fontId="5" fillId="33" borderId="54" xfId="0" applyNumberFormat="1" applyFont="1" applyFill="1" applyBorder="1" applyAlignment="1">
      <alignment/>
    </xf>
    <xf numFmtId="165" fontId="5" fillId="33" borderId="54" xfId="46" applyNumberFormat="1" applyFont="1" applyFill="1" applyBorder="1" applyAlignment="1" applyProtection="1">
      <alignment/>
      <protection/>
    </xf>
    <xf numFmtId="165" fontId="5" fillId="33" borderId="78" xfId="46" applyNumberFormat="1" applyFont="1" applyFill="1" applyBorder="1" applyAlignment="1" applyProtection="1">
      <alignment/>
      <protection/>
    </xf>
    <xf numFmtId="3" fontId="3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5" fontId="2" fillId="33" borderId="79" xfId="46" applyNumberFormat="1" applyFont="1" applyFill="1" applyBorder="1" applyAlignment="1" applyProtection="1">
      <alignment horizontal="center"/>
      <protection/>
    </xf>
    <xf numFmtId="165" fontId="2" fillId="33" borderId="77" xfId="46" applyNumberFormat="1" applyFont="1" applyFill="1" applyBorder="1" applyAlignment="1" applyProtection="1">
      <alignment horizontal="center" vertical="center" wrapText="1"/>
      <protection/>
    </xf>
    <xf numFmtId="3" fontId="2" fillId="40" borderId="58" xfId="0" applyNumberFormat="1" applyFont="1" applyFill="1" applyBorder="1" applyAlignment="1">
      <alignment horizontal="center"/>
    </xf>
    <xf numFmtId="165" fontId="2" fillId="40" borderId="58" xfId="46" applyNumberFormat="1" applyFont="1" applyFill="1" applyBorder="1" applyAlignment="1" applyProtection="1">
      <alignment/>
      <protection/>
    </xf>
    <xf numFmtId="165" fontId="2" fillId="42" borderId="14" xfId="46" applyNumberFormat="1" applyFont="1" applyFill="1" applyBorder="1" applyAlignment="1" applyProtection="1">
      <alignment horizontal="center"/>
      <protection/>
    </xf>
    <xf numFmtId="165" fontId="2" fillId="42" borderId="14" xfId="46" applyNumberFormat="1" applyFont="1" applyFill="1" applyBorder="1" applyAlignment="1" applyProtection="1">
      <alignment horizontal="center" vertical="center" wrapText="1"/>
      <protection/>
    </xf>
    <xf numFmtId="3" fontId="4" fillId="42" borderId="58" xfId="0" applyNumberFormat="1" applyFont="1" applyFill="1" applyBorder="1" applyAlignment="1">
      <alignment horizontal="center" vertical="center" wrapText="1"/>
    </xf>
    <xf numFmtId="3" fontId="3" fillId="42" borderId="5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165" fontId="2" fillId="0" borderId="31" xfId="46" applyNumberFormat="1" applyFont="1" applyFill="1" applyBorder="1" applyAlignment="1" applyProtection="1">
      <alignment/>
      <protection/>
    </xf>
    <xf numFmtId="3" fontId="2" fillId="0" borderId="16" xfId="0" applyNumberFormat="1" applyFont="1" applyBorder="1" applyAlignment="1">
      <alignment horizontal="center"/>
    </xf>
    <xf numFmtId="3" fontId="2" fillId="44" borderId="80" xfId="0" applyNumberFormat="1" applyFont="1" applyFill="1" applyBorder="1" applyAlignment="1">
      <alignment horizontal="center" vertical="center"/>
    </xf>
    <xf numFmtId="165" fontId="2" fillId="44" borderId="66" xfId="46" applyNumberFormat="1" applyFont="1" applyFill="1" applyBorder="1" applyAlignment="1" applyProtection="1">
      <alignment horizontal="center" vertical="center" wrapText="1"/>
      <protection/>
    </xf>
    <xf numFmtId="165" fontId="2" fillId="44" borderId="62" xfId="46" applyNumberFormat="1" applyFont="1" applyFill="1" applyBorder="1" applyAlignment="1" applyProtection="1">
      <alignment horizontal="center" vertical="center" wrapText="1"/>
      <protection/>
    </xf>
    <xf numFmtId="3" fontId="2" fillId="44" borderId="55" xfId="0" applyNumberFormat="1" applyFont="1" applyFill="1" applyBorder="1" applyAlignment="1">
      <alignment horizontal="center" vertical="center"/>
    </xf>
    <xf numFmtId="165" fontId="2" fillId="44" borderId="76" xfId="46" applyNumberFormat="1" applyFont="1" applyFill="1" applyBorder="1" applyAlignment="1" applyProtection="1">
      <alignment horizontal="center"/>
      <protection/>
    </xf>
    <xf numFmtId="165" fontId="2" fillId="44" borderId="77" xfId="46" applyNumberFormat="1" applyFont="1" applyFill="1" applyBorder="1" applyAlignment="1" applyProtection="1">
      <alignment horizontal="center" vertical="center" wrapText="1"/>
      <protection/>
    </xf>
    <xf numFmtId="3" fontId="4" fillId="0" borderId="67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3" fontId="2" fillId="33" borderId="52" xfId="0" applyNumberFormat="1" applyFont="1" applyFill="1" applyBorder="1" applyAlignment="1">
      <alignment horizontal="center"/>
    </xf>
    <xf numFmtId="0" fontId="0" fillId="33" borderId="54" xfId="0" applyFill="1" applyBorder="1" applyAlignment="1">
      <alignment/>
    </xf>
    <xf numFmtId="165" fontId="2" fillId="33" borderId="54" xfId="46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4" xfId="0" applyFont="1" applyFill="1" applyBorder="1" applyAlignment="1">
      <alignment/>
    </xf>
    <xf numFmtId="0" fontId="2" fillId="0" borderId="11" xfId="0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165" fontId="2" fillId="33" borderId="62" xfId="46" applyNumberFormat="1" applyFont="1" applyFill="1" applyBorder="1" applyAlignment="1" applyProtection="1">
      <alignment horizontal="center" vertical="center" wrapText="1"/>
      <protection/>
    </xf>
    <xf numFmtId="3" fontId="2" fillId="0" borderId="67" xfId="0" applyNumberFormat="1" applyFont="1" applyBorder="1" applyAlignment="1">
      <alignment horizontal="center"/>
    </xf>
    <xf numFmtId="0" fontId="2" fillId="0" borderId="67" xfId="0" applyFont="1" applyBorder="1" applyAlignment="1">
      <alignment/>
    </xf>
    <xf numFmtId="165" fontId="2" fillId="0" borderId="67" xfId="46" applyNumberFormat="1" applyFont="1" applyFill="1" applyBorder="1" applyAlignment="1" applyProtection="1">
      <alignment/>
      <protection/>
    </xf>
    <xf numFmtId="0" fontId="2" fillId="33" borderId="54" xfId="0" applyFont="1" applyFill="1" applyBorder="1" applyAlignment="1">
      <alignment wrapText="1"/>
    </xf>
    <xf numFmtId="3" fontId="2" fillId="33" borderId="81" xfId="0" applyNumberFormat="1" applyFont="1" applyFill="1" applyBorder="1" applyAlignment="1">
      <alignment horizontal="center" vertical="center" wrapText="1"/>
    </xf>
    <xf numFmtId="3" fontId="2" fillId="33" borderId="7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167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67" fontId="8" fillId="0" borderId="11" xfId="0" applyNumberFormat="1" applyFont="1" applyBorder="1" applyAlignment="1">
      <alignment/>
    </xf>
    <xf numFmtId="3" fontId="1" fillId="33" borderId="58" xfId="0" applyNumberFormat="1" applyFont="1" applyFill="1" applyBorder="1" applyAlignment="1">
      <alignment horizontal="center"/>
    </xf>
    <xf numFmtId="3" fontId="0" fillId="33" borderId="58" xfId="0" applyNumberFormat="1" applyFont="1" applyFill="1" applyBorder="1" applyAlignment="1">
      <alignment horizontal="center"/>
    </xf>
    <xf numFmtId="3" fontId="1" fillId="33" borderId="58" xfId="0" applyNumberFormat="1" applyFont="1" applyFill="1" applyBorder="1" applyAlignment="1">
      <alignment/>
    </xf>
    <xf numFmtId="3" fontId="2" fillId="33" borderId="58" xfId="0" applyNumberFormat="1" applyFont="1" applyFill="1" applyBorder="1" applyAlignment="1">
      <alignment/>
    </xf>
    <xf numFmtId="165" fontId="2" fillId="33" borderId="58" xfId="46" applyNumberFormat="1" applyFont="1" applyFill="1" applyBorder="1" applyAlignment="1" applyProtection="1">
      <alignment/>
      <protection/>
    </xf>
    <xf numFmtId="3" fontId="0" fillId="33" borderId="58" xfId="0" applyNumberFormat="1" applyFont="1" applyFill="1" applyBorder="1" applyAlignment="1">
      <alignment/>
    </xf>
    <xf numFmtId="3" fontId="0" fillId="33" borderId="58" xfId="0" applyNumberFormat="1" applyFill="1" applyBorder="1" applyAlignment="1">
      <alignment/>
    </xf>
    <xf numFmtId="165" fontId="0" fillId="33" borderId="58" xfId="46" applyNumberFormat="1" applyFill="1" applyBorder="1" applyAlignment="1" applyProtection="1">
      <alignment/>
      <protection/>
    </xf>
    <xf numFmtId="3" fontId="1" fillId="33" borderId="16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center"/>
    </xf>
    <xf numFmtId="3" fontId="2" fillId="0" borderId="58" xfId="0" applyNumberFormat="1" applyFont="1" applyFill="1" applyBorder="1" applyAlignment="1">
      <alignment horizontal="center"/>
    </xf>
    <xf numFmtId="3" fontId="2" fillId="0" borderId="58" xfId="0" applyNumberFormat="1" applyFont="1" applyFill="1" applyBorder="1" applyAlignment="1">
      <alignment/>
    </xf>
    <xf numFmtId="167" fontId="2" fillId="0" borderId="35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58" xfId="0" applyBorder="1" applyAlignment="1">
      <alignment/>
    </xf>
    <xf numFmtId="165" fontId="0" fillId="0" borderId="58" xfId="46" applyNumberFormat="1" applyFill="1" applyBorder="1" applyAlignment="1" applyProtection="1">
      <alignment/>
      <protection/>
    </xf>
    <xf numFmtId="3" fontId="0" fillId="36" borderId="58" xfId="0" applyNumberFormat="1" applyFont="1" applyFill="1" applyBorder="1" applyAlignment="1">
      <alignment/>
    </xf>
    <xf numFmtId="0" fontId="19" fillId="33" borderId="82" xfId="0" applyFont="1" applyFill="1" applyBorder="1" applyAlignment="1">
      <alignment horizontal="left" vertical="center" wrapText="1"/>
    </xf>
    <xf numFmtId="49" fontId="20" fillId="33" borderId="81" xfId="0" applyNumberFormat="1" applyFont="1" applyFill="1" applyBorder="1" applyAlignment="1">
      <alignment horizontal="center" vertical="center" wrapText="1"/>
    </xf>
    <xf numFmtId="49" fontId="20" fillId="33" borderId="75" xfId="0" applyNumberFormat="1" applyFont="1" applyFill="1" applyBorder="1" applyAlignment="1">
      <alignment horizontal="center" vertical="center" wrapText="1"/>
    </xf>
    <xf numFmtId="0" fontId="2" fillId="45" borderId="83" xfId="0" applyFont="1" applyFill="1" applyBorder="1" applyAlignment="1">
      <alignment horizontal="left" vertical="center" wrapText="1"/>
    </xf>
    <xf numFmtId="165" fontId="3" fillId="0" borderId="84" xfId="46" applyNumberFormat="1" applyFont="1" applyFill="1" applyBorder="1" applyAlignment="1" applyProtection="1">
      <alignment/>
      <protection/>
    </xf>
    <xf numFmtId="0" fontId="0" fillId="45" borderId="83" xfId="0" applyFont="1" applyFill="1" applyBorder="1" applyAlignment="1">
      <alignment horizontal="left" vertical="center" wrapText="1"/>
    </xf>
    <xf numFmtId="0" fontId="2" fillId="33" borderId="83" xfId="0" applyFont="1" applyFill="1" applyBorder="1" applyAlignment="1">
      <alignment horizontal="left" vertical="center" wrapText="1"/>
    </xf>
    <xf numFmtId="3" fontId="2" fillId="33" borderId="84" xfId="0" applyNumberFormat="1" applyFont="1" applyFill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84" xfId="0" applyNumberFormat="1" applyFont="1" applyFill="1" applyBorder="1" applyAlignment="1">
      <alignment/>
    </xf>
    <xf numFmtId="0" fontId="2" fillId="45" borderId="85" xfId="0" applyFont="1" applyFill="1" applyBorder="1" applyAlignment="1">
      <alignment horizontal="left" vertical="center" wrapText="1"/>
    </xf>
    <xf numFmtId="3" fontId="2" fillId="45" borderId="76" xfId="0" applyNumberFormat="1" applyFont="1" applyFill="1" applyBorder="1" applyAlignment="1">
      <alignment/>
    </xf>
    <xf numFmtId="3" fontId="2" fillId="45" borderId="77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65" fontId="33" fillId="0" borderId="58" xfId="46" applyNumberFormat="1" applyFont="1" applyFill="1" applyBorder="1" applyAlignment="1" applyProtection="1">
      <alignment/>
      <protection/>
    </xf>
    <xf numFmtId="165" fontId="2" fillId="0" borderId="58" xfId="46" applyNumberFormat="1" applyFont="1" applyFill="1" applyBorder="1" applyAlignment="1" applyProtection="1">
      <alignment/>
      <protection/>
    </xf>
    <xf numFmtId="3" fontId="2" fillId="37" borderId="86" xfId="0" applyNumberFormat="1" applyFont="1" applyFill="1" applyBorder="1" applyAlignment="1">
      <alignment horizontal="center" vertical="center"/>
    </xf>
    <xf numFmtId="3" fontId="4" fillId="37" borderId="87" xfId="0" applyNumberFormat="1" applyFont="1" applyFill="1" applyBorder="1" applyAlignment="1">
      <alignment horizontal="center" vertical="center" wrapText="1"/>
    </xf>
    <xf numFmtId="165" fontId="2" fillId="37" borderId="61" xfId="46" applyNumberFormat="1" applyFont="1" applyFill="1" applyBorder="1" applyAlignment="1" applyProtection="1">
      <alignment horizontal="center" vertical="center" wrapText="1"/>
      <protection/>
    </xf>
    <xf numFmtId="165" fontId="2" fillId="37" borderId="88" xfId="46" applyNumberFormat="1" applyFont="1" applyFill="1" applyBorder="1" applyAlignment="1" applyProtection="1">
      <alignment horizontal="center" vertical="center" wrapText="1"/>
      <protection/>
    </xf>
    <xf numFmtId="3" fontId="2" fillId="37" borderId="89" xfId="0" applyNumberFormat="1" applyFont="1" applyFill="1" applyBorder="1" applyAlignment="1">
      <alignment horizontal="center" vertical="center"/>
    </xf>
    <xf numFmtId="165" fontId="2" fillId="37" borderId="55" xfId="46" applyNumberFormat="1" applyFont="1" applyFill="1" applyBorder="1" applyAlignment="1" applyProtection="1">
      <alignment horizontal="center"/>
      <protection/>
    </xf>
    <xf numFmtId="165" fontId="2" fillId="37" borderId="90" xfId="46" applyNumberFormat="1" applyFont="1" applyFill="1" applyBorder="1" applyAlignment="1" applyProtection="1">
      <alignment horizontal="center"/>
      <protection/>
    </xf>
    <xf numFmtId="165" fontId="2" fillId="0" borderId="91" xfId="46" applyNumberFormat="1" applyFont="1" applyFill="1" applyBorder="1" applyAlignment="1" applyProtection="1">
      <alignment/>
      <protection/>
    </xf>
    <xf numFmtId="165" fontId="33" fillId="0" borderId="91" xfId="46" applyNumberFormat="1" applyFont="1" applyFill="1" applyBorder="1" applyAlignment="1" applyProtection="1">
      <alignment/>
      <protection/>
    </xf>
    <xf numFmtId="165" fontId="6" fillId="0" borderId="92" xfId="46" applyNumberFormat="1" applyFont="1" applyFill="1" applyBorder="1" applyAlignment="1" applyProtection="1">
      <alignment/>
      <protection/>
    </xf>
    <xf numFmtId="165" fontId="6" fillId="0" borderId="93" xfId="46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167" fontId="2" fillId="0" borderId="23" xfId="0" applyNumberFormat="1" applyFont="1" applyFill="1" applyBorder="1" applyAlignment="1">
      <alignment/>
    </xf>
    <xf numFmtId="167" fontId="2" fillId="0" borderId="58" xfId="0" applyNumberFormat="1" applyFont="1" applyFill="1" applyBorder="1" applyAlignment="1">
      <alignment/>
    </xf>
    <xf numFmtId="167" fontId="5" fillId="33" borderId="25" xfId="0" applyNumberFormat="1" applyFont="1" applyFill="1" applyBorder="1" applyAlignment="1">
      <alignment vertical="center"/>
    </xf>
    <xf numFmtId="165" fontId="5" fillId="33" borderId="39" xfId="46" applyNumberFormat="1" applyFont="1" applyFill="1" applyBorder="1" applyAlignment="1" applyProtection="1">
      <alignment vertical="center"/>
      <protection/>
    </xf>
    <xf numFmtId="0" fontId="18" fillId="36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3" fontId="2" fillId="37" borderId="80" xfId="0" applyNumberFormat="1" applyFont="1" applyFill="1" applyBorder="1" applyAlignment="1">
      <alignment horizontal="center" vertical="center"/>
    </xf>
    <xf numFmtId="3" fontId="4" fillId="37" borderId="66" xfId="0" applyNumberFormat="1" applyFont="1" applyFill="1" applyBorder="1" applyAlignment="1">
      <alignment horizontal="center" vertical="center" wrapText="1"/>
    </xf>
    <xf numFmtId="165" fontId="2" fillId="37" borderId="84" xfId="46" applyNumberFormat="1" applyFont="1" applyFill="1" applyBorder="1" applyAlignment="1" applyProtection="1">
      <alignment horizontal="center"/>
      <protection/>
    </xf>
    <xf numFmtId="0" fontId="2" fillId="0" borderId="94" xfId="0" applyFont="1" applyFill="1" applyBorder="1" applyAlignment="1">
      <alignment horizontal="center"/>
    </xf>
    <xf numFmtId="165" fontId="2" fillId="0" borderId="84" xfId="46" applyNumberFormat="1" applyFont="1" applyFill="1" applyBorder="1" applyAlignment="1" applyProtection="1">
      <alignment/>
      <protection/>
    </xf>
    <xf numFmtId="0" fontId="0" fillId="0" borderId="94" xfId="0" applyFont="1" applyFill="1" applyBorder="1" applyAlignment="1">
      <alignment horizontal="center"/>
    </xf>
    <xf numFmtId="165" fontId="0" fillId="0" borderId="84" xfId="46" applyNumberFormat="1" applyFill="1" applyBorder="1" applyAlignment="1" applyProtection="1">
      <alignment/>
      <protection/>
    </xf>
    <xf numFmtId="165" fontId="0" fillId="36" borderId="84" xfId="46" applyNumberFormat="1" applyFill="1" applyBorder="1" applyAlignment="1" applyProtection="1">
      <alignment/>
      <protection/>
    </xf>
    <xf numFmtId="165" fontId="0" fillId="0" borderId="95" xfId="46" applyNumberFormat="1" applyFill="1" applyBorder="1" applyAlignment="1" applyProtection="1">
      <alignment/>
      <protection/>
    </xf>
    <xf numFmtId="165" fontId="0" fillId="0" borderId="91" xfId="46" applyNumberFormat="1" applyFill="1" applyBorder="1" applyAlignment="1" applyProtection="1">
      <alignment/>
      <protection/>
    </xf>
    <xf numFmtId="165" fontId="0" fillId="0" borderId="96" xfId="46" applyNumberFormat="1" applyFill="1" applyBorder="1" applyAlignment="1" applyProtection="1">
      <alignment/>
      <protection/>
    </xf>
    <xf numFmtId="3" fontId="5" fillId="33" borderId="97" xfId="0" applyNumberFormat="1" applyFont="1" applyFill="1" applyBorder="1" applyAlignment="1">
      <alignment horizontal="center" vertical="center"/>
    </xf>
    <xf numFmtId="165" fontId="5" fillId="33" borderId="98" xfId="46" applyNumberFormat="1" applyFont="1" applyFill="1" applyBorder="1" applyAlignment="1" applyProtection="1">
      <alignment vertical="center"/>
      <protection/>
    </xf>
    <xf numFmtId="165" fontId="8" fillId="0" borderId="58" xfId="46" applyNumberFormat="1" applyFont="1" applyFill="1" applyBorder="1" applyAlignment="1" applyProtection="1">
      <alignment/>
      <protection/>
    </xf>
    <xf numFmtId="165" fontId="2" fillId="0" borderId="66" xfId="46" applyNumberFormat="1" applyFont="1" applyFill="1" applyBorder="1" applyAlignment="1" applyProtection="1">
      <alignment/>
      <protection/>
    </xf>
    <xf numFmtId="165" fontId="2" fillId="0" borderId="62" xfId="46" applyNumberFormat="1" applyFont="1" applyFill="1" applyBorder="1" applyAlignment="1" applyProtection="1">
      <alignment/>
      <protection/>
    </xf>
    <xf numFmtId="165" fontId="8" fillId="0" borderId="91" xfId="46" applyNumberFormat="1" applyFont="1" applyFill="1" applyBorder="1" applyAlignment="1" applyProtection="1">
      <alignment/>
      <protection/>
    </xf>
    <xf numFmtId="165" fontId="2" fillId="0" borderId="68" xfId="46" applyNumberFormat="1" applyFont="1" applyFill="1" applyBorder="1" applyAlignment="1" applyProtection="1">
      <alignment/>
      <protection/>
    </xf>
    <xf numFmtId="165" fontId="2" fillId="0" borderId="99" xfId="46" applyNumberFormat="1" applyFont="1" applyFill="1" applyBorder="1" applyAlignment="1" applyProtection="1">
      <alignment/>
      <protection/>
    </xf>
    <xf numFmtId="165" fontId="6" fillId="0" borderId="69" xfId="46" applyNumberFormat="1" applyFont="1" applyFill="1" applyBorder="1" applyAlignment="1" applyProtection="1">
      <alignment vertical="center"/>
      <protection/>
    </xf>
    <xf numFmtId="165" fontId="6" fillId="0" borderId="100" xfId="46" applyNumberFormat="1" applyFont="1" applyFill="1" applyBorder="1" applyAlignment="1" applyProtection="1">
      <alignment vertical="center"/>
      <protection/>
    </xf>
    <xf numFmtId="165" fontId="8" fillId="0" borderId="67" xfId="46" applyNumberFormat="1" applyFont="1" applyFill="1" applyBorder="1" applyAlignment="1" applyProtection="1">
      <alignment/>
      <protection/>
    </xf>
    <xf numFmtId="165" fontId="8" fillId="0" borderId="101" xfId="46" applyNumberFormat="1" applyFont="1" applyFill="1" applyBorder="1" applyAlignment="1" applyProtection="1">
      <alignment/>
      <protection/>
    </xf>
    <xf numFmtId="165" fontId="5" fillId="39" borderId="102" xfId="46" applyNumberFormat="1" applyFont="1" applyFill="1" applyBorder="1" applyAlignment="1" applyProtection="1">
      <alignment/>
      <protection/>
    </xf>
    <xf numFmtId="165" fontId="5" fillId="39" borderId="103" xfId="46" applyNumberFormat="1" applyFont="1" applyFill="1" applyBorder="1" applyAlignment="1" applyProtection="1">
      <alignment/>
      <protection/>
    </xf>
    <xf numFmtId="165" fontId="6" fillId="36" borderId="69" xfId="46" applyNumberFormat="1" applyFont="1" applyFill="1" applyBorder="1" applyAlignment="1" applyProtection="1">
      <alignment vertical="center"/>
      <protection/>
    </xf>
    <xf numFmtId="165" fontId="6" fillId="36" borderId="100" xfId="46" applyNumberFormat="1" applyFont="1" applyFill="1" applyBorder="1" applyAlignment="1" applyProtection="1">
      <alignment vertical="center"/>
      <protection/>
    </xf>
    <xf numFmtId="3" fontId="2" fillId="33" borderId="104" xfId="0" applyNumberFormat="1" applyFont="1" applyFill="1" applyBorder="1" applyAlignment="1">
      <alignment horizontal="center" vertical="center" wrapText="1"/>
    </xf>
    <xf numFmtId="3" fontId="2" fillId="33" borderId="105" xfId="0" applyNumberFormat="1" applyFont="1" applyFill="1" applyBorder="1" applyAlignment="1">
      <alignment horizontal="center" vertical="center" wrapText="1"/>
    </xf>
    <xf numFmtId="165" fontId="2" fillId="33" borderId="106" xfId="46" applyNumberFormat="1" applyFont="1" applyFill="1" applyBorder="1" applyAlignment="1" applyProtection="1">
      <alignment horizontal="center"/>
      <protection/>
    </xf>
    <xf numFmtId="165" fontId="13" fillId="0" borderId="107" xfId="46" applyNumberFormat="1" applyFont="1" applyFill="1" applyBorder="1" applyAlignment="1" applyProtection="1">
      <alignment/>
      <protection/>
    </xf>
    <xf numFmtId="165" fontId="13" fillId="0" borderId="108" xfId="46" applyNumberFormat="1" applyFont="1" applyFill="1" applyBorder="1" applyAlignment="1" applyProtection="1">
      <alignment/>
      <protection/>
    </xf>
    <xf numFmtId="3" fontId="0" fillId="0" borderId="31" xfId="0" applyNumberFormat="1" applyFont="1" applyFill="1" applyBorder="1" applyAlignment="1">
      <alignment/>
    </xf>
    <xf numFmtId="165" fontId="0" fillId="0" borderId="29" xfId="46" applyNumberFormat="1" applyFont="1" applyFill="1" applyBorder="1" applyAlignment="1" applyProtection="1">
      <alignment/>
      <protection/>
    </xf>
    <xf numFmtId="165" fontId="0" fillId="0" borderId="106" xfId="46" applyNumberFormat="1" applyFont="1" applyFill="1" applyBorder="1" applyAlignment="1" applyProtection="1">
      <alignment/>
      <protection/>
    </xf>
    <xf numFmtId="165" fontId="6" fillId="0" borderId="53" xfId="46" applyNumberFormat="1" applyFont="1" applyFill="1" applyBorder="1" applyAlignment="1" applyProtection="1">
      <alignment/>
      <protection/>
    </xf>
    <xf numFmtId="165" fontId="6" fillId="0" borderId="109" xfId="46" applyNumberFormat="1" applyFont="1" applyFill="1" applyBorder="1" applyAlignment="1" applyProtection="1">
      <alignment/>
      <protection/>
    </xf>
    <xf numFmtId="165" fontId="0" fillId="0" borderId="36" xfId="46" applyNumberFormat="1" applyFont="1" applyFill="1" applyBorder="1" applyAlignment="1" applyProtection="1">
      <alignment/>
      <protection/>
    </xf>
    <xf numFmtId="0" fontId="5" fillId="37" borderId="110" xfId="0" applyFont="1" applyFill="1" applyBorder="1" applyAlignment="1">
      <alignment/>
    </xf>
    <xf numFmtId="0" fontId="5" fillId="37" borderId="111" xfId="0" applyFont="1" applyFill="1" applyBorder="1" applyAlignment="1">
      <alignment/>
    </xf>
    <xf numFmtId="165" fontId="5" fillId="37" borderId="110" xfId="46" applyNumberFormat="1" applyFont="1" applyFill="1" applyBorder="1" applyAlignment="1" applyProtection="1">
      <alignment/>
      <protection/>
    </xf>
    <xf numFmtId="165" fontId="5" fillId="37" borderId="112" xfId="46" applyNumberFormat="1" applyFont="1" applyFill="1" applyBorder="1" applyAlignment="1" applyProtection="1">
      <alignment/>
      <protection/>
    </xf>
    <xf numFmtId="3" fontId="2" fillId="0" borderId="58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 wrapText="1"/>
    </xf>
    <xf numFmtId="167" fontId="2" fillId="0" borderId="58" xfId="0" applyNumberFormat="1" applyFont="1" applyBorder="1" applyAlignment="1">
      <alignment/>
    </xf>
    <xf numFmtId="167" fontId="0" fillId="0" borderId="58" xfId="0" applyNumberFormat="1" applyFont="1" applyBorder="1" applyAlignment="1">
      <alignment/>
    </xf>
    <xf numFmtId="165" fontId="0" fillId="0" borderId="58" xfId="46" applyNumberFormat="1" applyFont="1" applyFill="1" applyBorder="1" applyAlignment="1" applyProtection="1">
      <alignment/>
      <protection/>
    </xf>
    <xf numFmtId="3" fontId="2" fillId="0" borderId="58" xfId="0" applyNumberFormat="1" applyFont="1" applyBorder="1" applyAlignment="1">
      <alignment/>
    </xf>
    <xf numFmtId="3" fontId="13" fillId="0" borderId="58" xfId="0" applyNumberFormat="1" applyFont="1" applyBorder="1" applyAlignment="1">
      <alignment horizontal="center"/>
    </xf>
    <xf numFmtId="3" fontId="13" fillId="0" borderId="58" xfId="0" applyNumberFormat="1" applyFont="1" applyBorder="1" applyAlignment="1">
      <alignment/>
    </xf>
    <xf numFmtId="167" fontId="13" fillId="0" borderId="58" xfId="0" applyNumberFormat="1" applyFont="1" applyBorder="1" applyAlignment="1">
      <alignment/>
    </xf>
    <xf numFmtId="165" fontId="13" fillId="0" borderId="58" xfId="46" applyNumberFormat="1" applyFont="1" applyFill="1" applyBorder="1" applyAlignment="1" applyProtection="1">
      <alignment/>
      <protection/>
    </xf>
    <xf numFmtId="3" fontId="2" fillId="33" borderId="66" xfId="0" applyNumberFormat="1" applyFont="1" applyFill="1" applyBorder="1" applyAlignment="1">
      <alignment horizontal="center" vertical="center" wrapText="1"/>
    </xf>
    <xf numFmtId="3" fontId="2" fillId="33" borderId="75" xfId="0" applyNumberFormat="1" applyFont="1" applyFill="1" applyBorder="1" applyAlignment="1">
      <alignment horizontal="center" vertical="center" wrapText="1"/>
    </xf>
    <xf numFmtId="3" fontId="2" fillId="0" borderId="113" xfId="0" applyNumberFormat="1" applyFont="1" applyFill="1" applyBorder="1" applyAlignment="1">
      <alignment horizontal="center"/>
    </xf>
    <xf numFmtId="3" fontId="0" fillId="0" borderId="113" xfId="0" applyNumberFormat="1" applyFont="1" applyFill="1" applyBorder="1" applyAlignment="1">
      <alignment horizontal="center"/>
    </xf>
    <xf numFmtId="165" fontId="0" fillId="0" borderId="91" xfId="46" applyNumberFormat="1" applyFont="1" applyFill="1" applyBorder="1" applyAlignment="1" applyProtection="1">
      <alignment/>
      <protection/>
    </xf>
    <xf numFmtId="3" fontId="13" fillId="0" borderId="113" xfId="0" applyNumberFormat="1" applyFont="1" applyFill="1" applyBorder="1" applyAlignment="1">
      <alignment horizontal="center"/>
    </xf>
    <xf numFmtId="165" fontId="13" fillId="0" borderId="91" xfId="46" applyNumberFormat="1" applyFont="1" applyFill="1" applyBorder="1" applyAlignment="1" applyProtection="1">
      <alignment/>
      <protection/>
    </xf>
    <xf numFmtId="0" fontId="2" fillId="0" borderId="113" xfId="0" applyFont="1" applyBorder="1" applyAlignment="1">
      <alignment/>
    </xf>
    <xf numFmtId="3" fontId="2" fillId="0" borderId="114" xfId="0" applyNumberFormat="1" applyFont="1" applyFill="1" applyBorder="1" applyAlignment="1">
      <alignment horizontal="center"/>
    </xf>
    <xf numFmtId="3" fontId="2" fillId="0" borderId="68" xfId="0" applyNumberFormat="1" applyFont="1" applyBorder="1" applyAlignment="1">
      <alignment horizontal="center"/>
    </xf>
    <xf numFmtId="3" fontId="2" fillId="0" borderId="68" xfId="0" applyNumberFormat="1" applyFont="1" applyBorder="1" applyAlignment="1">
      <alignment wrapText="1"/>
    </xf>
    <xf numFmtId="167" fontId="2" fillId="0" borderId="68" xfId="0" applyNumberFormat="1" applyFont="1" applyBorder="1" applyAlignment="1">
      <alignment/>
    </xf>
    <xf numFmtId="3" fontId="0" fillId="33" borderId="76" xfId="0" applyNumberFormat="1" applyFont="1" applyFill="1" applyBorder="1" applyAlignment="1">
      <alignment horizontal="center" vertical="center"/>
    </xf>
    <xf numFmtId="165" fontId="2" fillId="33" borderId="115" xfId="46" applyNumberFormat="1" applyFont="1" applyFill="1" applyBorder="1" applyAlignment="1" applyProtection="1">
      <alignment horizontal="center"/>
      <protection/>
    </xf>
    <xf numFmtId="3" fontId="0" fillId="0" borderId="116" xfId="0" applyNumberFormat="1" applyFont="1" applyFill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/>
    </xf>
    <xf numFmtId="167" fontId="0" fillId="0" borderId="67" xfId="0" applyNumberFormat="1" applyFont="1" applyBorder="1" applyAlignment="1">
      <alignment/>
    </xf>
    <xf numFmtId="165" fontId="0" fillId="0" borderId="67" xfId="46" applyNumberFormat="1" applyFont="1" applyFill="1" applyBorder="1" applyAlignment="1" applyProtection="1">
      <alignment/>
      <protection/>
    </xf>
    <xf numFmtId="165" fontId="0" fillId="0" borderId="101" xfId="46" applyNumberFormat="1" applyFont="1" applyFill="1" applyBorder="1" applyAlignment="1" applyProtection="1">
      <alignment/>
      <protection/>
    </xf>
    <xf numFmtId="3" fontId="2" fillId="0" borderId="36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165" fontId="0" fillId="0" borderId="21" xfId="46" applyNumberFormat="1" applyFont="1" applyFill="1" applyBorder="1" applyAlignment="1" applyProtection="1">
      <alignment horizontal="center" vertical="center"/>
      <protection/>
    </xf>
    <xf numFmtId="3" fontId="5" fillId="37" borderId="117" xfId="0" applyNumberFormat="1" applyFont="1" applyFill="1" applyBorder="1" applyAlignment="1">
      <alignment horizontal="left"/>
    </xf>
    <xf numFmtId="3" fontId="5" fillId="37" borderId="118" xfId="0" applyNumberFormat="1" applyFont="1" applyFill="1" applyBorder="1" applyAlignment="1">
      <alignment horizontal="left"/>
    </xf>
    <xf numFmtId="165" fontId="5" fillId="37" borderId="119" xfId="46" applyNumberFormat="1" applyFont="1" applyFill="1" applyBorder="1" applyAlignment="1" applyProtection="1">
      <alignment/>
      <protection/>
    </xf>
    <xf numFmtId="3" fontId="8" fillId="0" borderId="29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165" fontId="8" fillId="0" borderId="26" xfId="46" applyNumberFormat="1" applyFont="1" applyFill="1" applyBorder="1" applyAlignment="1" applyProtection="1">
      <alignment horizontal="right" vertical="center"/>
      <protection/>
    </xf>
    <xf numFmtId="165" fontId="8" fillId="0" borderId="40" xfId="46" applyNumberFormat="1" applyFont="1" applyFill="1" applyBorder="1" applyAlignment="1" applyProtection="1">
      <alignment horizontal="right" vertical="center"/>
      <protection/>
    </xf>
    <xf numFmtId="165" fontId="6" fillId="0" borderId="120" xfId="46" applyNumberFormat="1" applyFont="1" applyFill="1" applyBorder="1" applyAlignment="1" applyProtection="1">
      <alignment horizontal="right" vertical="center"/>
      <protection/>
    </xf>
    <xf numFmtId="165" fontId="6" fillId="36" borderId="69" xfId="46" applyNumberFormat="1" applyFont="1" applyFill="1" applyBorder="1" applyAlignment="1" applyProtection="1">
      <alignment horizontal="right" vertical="center"/>
      <protection/>
    </xf>
    <xf numFmtId="165" fontId="6" fillId="36" borderId="100" xfId="46" applyNumberFormat="1" applyFont="1" applyFill="1" applyBorder="1" applyAlignment="1" applyProtection="1">
      <alignment horizontal="right" vertical="center"/>
      <protection/>
    </xf>
    <xf numFmtId="165" fontId="5" fillId="37" borderId="120" xfId="46" applyNumberFormat="1" applyFont="1" applyFill="1" applyBorder="1" applyAlignment="1" applyProtection="1">
      <alignment horizontal="center" vertical="center"/>
      <protection/>
    </xf>
    <xf numFmtId="165" fontId="5" fillId="37" borderId="78" xfId="46" applyNumberFormat="1" applyFont="1" applyFill="1" applyBorder="1" applyAlignment="1" applyProtection="1">
      <alignment horizontal="center" vertical="center"/>
      <protection/>
    </xf>
    <xf numFmtId="3" fontId="5" fillId="37" borderId="121" xfId="0" applyNumberFormat="1" applyFont="1" applyFill="1" applyBorder="1" applyAlignment="1">
      <alignment horizontal="center" vertical="center"/>
    </xf>
    <xf numFmtId="3" fontId="5" fillId="37" borderId="59" xfId="0" applyNumberFormat="1" applyFont="1" applyFill="1" applyBorder="1" applyAlignment="1">
      <alignment horizontal="center" vertical="center"/>
    </xf>
    <xf numFmtId="3" fontId="5" fillId="37" borderId="53" xfId="0" applyNumberFormat="1" applyFont="1" applyFill="1" applyBorder="1" applyAlignment="1">
      <alignment horizontal="left" vertical="center"/>
    </xf>
    <xf numFmtId="3" fontId="5" fillId="37" borderId="12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6" fillId="0" borderId="121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23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165" fontId="2" fillId="33" borderId="81" xfId="46" applyNumberFormat="1" applyFont="1" applyFill="1" applyBorder="1" applyAlignment="1" applyProtection="1">
      <alignment horizontal="center" vertical="center" wrapText="1"/>
      <protection/>
    </xf>
    <xf numFmtId="3" fontId="8" fillId="0" borderId="124" xfId="0" applyNumberFormat="1" applyFont="1" applyBorder="1" applyAlignment="1">
      <alignment horizontal="center"/>
    </xf>
    <xf numFmtId="165" fontId="8" fillId="0" borderId="84" xfId="46" applyNumberFormat="1" applyFont="1" applyFill="1" applyBorder="1" applyAlignment="1" applyProtection="1">
      <alignment horizontal="right" vertical="center"/>
      <protection/>
    </xf>
    <xf numFmtId="3" fontId="8" fillId="0" borderId="125" xfId="0" applyNumberFormat="1" applyFont="1" applyBorder="1" applyAlignment="1">
      <alignment horizontal="center"/>
    </xf>
    <xf numFmtId="165" fontId="8" fillId="0" borderId="95" xfId="46" applyNumberFormat="1" applyFont="1" applyFill="1" applyBorder="1" applyAlignment="1" applyProtection="1">
      <alignment horizontal="right" vertical="center"/>
      <protection/>
    </xf>
    <xf numFmtId="3" fontId="2" fillId="0" borderId="41" xfId="0" applyNumberFormat="1" applyFont="1" applyBorder="1" applyAlignment="1">
      <alignment horizontal="center"/>
    </xf>
    <xf numFmtId="3" fontId="2" fillId="0" borderId="124" xfId="0" applyNumberFormat="1" applyFont="1" applyBorder="1" applyAlignment="1">
      <alignment horizontal="center"/>
    </xf>
    <xf numFmtId="165" fontId="2" fillId="0" borderId="84" xfId="46" applyNumberFormat="1" applyFont="1" applyFill="1" applyBorder="1" applyAlignment="1" applyProtection="1">
      <alignment horizontal="right" vertical="center"/>
      <protection/>
    </xf>
    <xf numFmtId="167" fontId="0" fillId="0" borderId="23" xfId="0" applyNumberFormat="1" applyFont="1" applyBorder="1" applyAlignment="1">
      <alignment horizontal="center"/>
    </xf>
    <xf numFmtId="3" fontId="2" fillId="0" borderId="94" xfId="0" applyNumberFormat="1" applyFont="1" applyBorder="1" applyAlignment="1">
      <alignment horizontal="center"/>
    </xf>
    <xf numFmtId="3" fontId="0" fillId="0" borderId="94" xfId="0" applyNumberFormat="1" applyFont="1" applyBorder="1" applyAlignment="1">
      <alignment horizontal="center"/>
    </xf>
    <xf numFmtId="3" fontId="0" fillId="0" borderId="126" xfId="0" applyNumberFormat="1" applyFont="1" applyBorder="1" applyAlignment="1">
      <alignment horizontal="center"/>
    </xf>
    <xf numFmtId="3" fontId="5" fillId="46" borderId="6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2" fillId="36" borderId="58" xfId="46" applyNumberFormat="1" applyFont="1" applyFill="1" applyBorder="1" applyAlignment="1" applyProtection="1">
      <alignment/>
      <protection/>
    </xf>
    <xf numFmtId="3" fontId="8" fillId="0" borderId="58" xfId="0" applyNumberFormat="1" applyFont="1" applyFill="1" applyBorder="1" applyAlignment="1">
      <alignment horizontal="center"/>
    </xf>
    <xf numFmtId="165" fontId="8" fillId="36" borderId="58" xfId="46" applyNumberFormat="1" applyFont="1" applyFill="1" applyBorder="1" applyAlignment="1" applyProtection="1">
      <alignment/>
      <protection/>
    </xf>
    <xf numFmtId="3" fontId="36" fillId="0" borderId="12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165" fontId="37" fillId="0" borderId="12" xfId="46" applyNumberFormat="1" applyFont="1" applyFill="1" applyBorder="1" applyAlignment="1" applyProtection="1">
      <alignment horizontal="right"/>
      <protection/>
    </xf>
    <xf numFmtId="3" fontId="37" fillId="0" borderId="12" xfId="0" applyNumberFormat="1" applyFont="1" applyFill="1" applyBorder="1" applyAlignment="1">
      <alignment horizontal="center"/>
    </xf>
    <xf numFmtId="165" fontId="37" fillId="0" borderId="127" xfId="46" applyNumberFormat="1" applyFont="1" applyFill="1" applyBorder="1" applyAlignment="1" applyProtection="1">
      <alignment horizontal="right"/>
      <protection/>
    </xf>
    <xf numFmtId="0" fontId="37" fillId="0" borderId="0" xfId="0" applyFont="1" applyFill="1" applyAlignment="1">
      <alignment/>
    </xf>
    <xf numFmtId="3" fontId="38" fillId="0" borderId="12" xfId="0" applyNumberFormat="1" applyFont="1" applyFill="1" applyBorder="1" applyAlignment="1">
      <alignment horizontal="center"/>
    </xf>
    <xf numFmtId="3" fontId="37" fillId="0" borderId="14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65" fontId="26" fillId="0" borderId="12" xfId="46" applyNumberFormat="1" applyFont="1" applyFill="1" applyBorder="1" applyAlignment="1" applyProtection="1">
      <alignment/>
      <protection/>
    </xf>
    <xf numFmtId="3" fontId="26" fillId="0" borderId="12" xfId="0" applyNumberFormat="1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22" fillId="0" borderId="0" xfId="0" applyFont="1" applyFill="1" applyAlignment="1">
      <alignment/>
    </xf>
    <xf numFmtId="3" fontId="29" fillId="0" borderId="23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27" fillId="33" borderId="81" xfId="0" applyNumberFormat="1" applyFont="1" applyFill="1" applyBorder="1" applyAlignment="1">
      <alignment horizontal="center" vertical="center" wrapText="1"/>
    </xf>
    <xf numFmtId="3" fontId="27" fillId="33" borderId="75" xfId="0" applyNumberFormat="1" applyFont="1" applyFill="1" applyBorder="1" applyAlignment="1">
      <alignment horizontal="center" vertical="center" wrapText="1"/>
    </xf>
    <xf numFmtId="3" fontId="37" fillId="0" borderId="83" xfId="0" applyNumberFormat="1" applyFont="1" applyFill="1" applyBorder="1" applyAlignment="1">
      <alignment horizontal="center"/>
    </xf>
    <xf numFmtId="165" fontId="37" fillId="0" borderId="128" xfId="46" applyNumberFormat="1" applyFont="1" applyFill="1" applyBorder="1" applyAlignment="1" applyProtection="1">
      <alignment/>
      <protection/>
    </xf>
    <xf numFmtId="165" fontId="37" fillId="0" borderId="84" xfId="46" applyNumberFormat="1" applyFont="1" applyFill="1" applyBorder="1" applyAlignment="1" applyProtection="1">
      <alignment/>
      <protection/>
    </xf>
    <xf numFmtId="3" fontId="37" fillId="0" borderId="129" xfId="0" applyNumberFormat="1" applyFont="1" applyFill="1" applyBorder="1" applyAlignment="1">
      <alignment horizontal="center"/>
    </xf>
    <xf numFmtId="3" fontId="37" fillId="0" borderId="130" xfId="0" applyNumberFormat="1" applyFont="1" applyFill="1" applyBorder="1" applyAlignment="1">
      <alignment horizontal="center"/>
    </xf>
    <xf numFmtId="165" fontId="37" fillId="36" borderId="84" xfId="46" applyNumberFormat="1" applyFont="1" applyFill="1" applyBorder="1" applyAlignment="1" applyProtection="1">
      <alignment/>
      <protection/>
    </xf>
    <xf numFmtId="3" fontId="19" fillId="0" borderId="130" xfId="0" applyNumberFormat="1" applyFont="1" applyFill="1" applyBorder="1" applyAlignment="1">
      <alignment horizontal="center"/>
    </xf>
    <xf numFmtId="165" fontId="19" fillId="0" borderId="84" xfId="46" applyNumberFormat="1" applyFont="1" applyFill="1" applyBorder="1" applyAlignment="1" applyProtection="1">
      <alignment/>
      <protection/>
    </xf>
    <xf numFmtId="3" fontId="36" fillId="0" borderId="130" xfId="0" applyNumberFormat="1" applyFont="1" applyFill="1" applyBorder="1" applyAlignment="1">
      <alignment horizontal="center"/>
    </xf>
    <xf numFmtId="165" fontId="36" fillId="0" borderId="84" xfId="46" applyNumberFormat="1" applyFont="1" applyFill="1" applyBorder="1" applyAlignment="1" applyProtection="1">
      <alignment/>
      <protection/>
    </xf>
    <xf numFmtId="3" fontId="26" fillId="0" borderId="130" xfId="0" applyNumberFormat="1" applyFont="1" applyFill="1" applyBorder="1" applyAlignment="1">
      <alignment horizontal="center" vertical="center" wrapText="1"/>
    </xf>
    <xf numFmtId="3" fontId="26" fillId="0" borderId="130" xfId="0" applyNumberFormat="1" applyFont="1" applyFill="1" applyBorder="1" applyAlignment="1">
      <alignment horizontal="center"/>
    </xf>
    <xf numFmtId="165" fontId="26" fillId="0" borderId="84" xfId="46" applyNumberFormat="1" applyFont="1" applyFill="1" applyBorder="1" applyAlignment="1" applyProtection="1">
      <alignment/>
      <protection/>
    </xf>
    <xf numFmtId="165" fontId="26" fillId="0" borderId="84" xfId="46" applyNumberFormat="1" applyFont="1" applyFill="1" applyBorder="1" applyAlignment="1" applyProtection="1">
      <alignment horizontal="right"/>
      <protection/>
    </xf>
    <xf numFmtId="3" fontId="29" fillId="0" borderId="125" xfId="0" applyNumberFormat="1" applyFont="1" applyFill="1" applyBorder="1" applyAlignment="1">
      <alignment horizontal="center"/>
    </xf>
    <xf numFmtId="3" fontId="39" fillId="37" borderId="110" xfId="0" applyNumberFormat="1" applyFont="1" applyFill="1" applyBorder="1" applyAlignment="1">
      <alignment horizontal="center"/>
    </xf>
    <xf numFmtId="3" fontId="24" fillId="37" borderId="110" xfId="0" applyNumberFormat="1" applyFont="1" applyFill="1" applyBorder="1" applyAlignment="1">
      <alignment/>
    </xf>
    <xf numFmtId="3" fontId="24" fillId="37" borderId="111" xfId="0" applyNumberFormat="1" applyFont="1" applyFill="1" applyBorder="1" applyAlignment="1">
      <alignment/>
    </xf>
    <xf numFmtId="3" fontId="24" fillId="37" borderId="111" xfId="0" applyNumberFormat="1" applyFont="1" applyFill="1" applyBorder="1" applyAlignment="1">
      <alignment/>
    </xf>
    <xf numFmtId="3" fontId="24" fillId="37" borderId="131" xfId="0" applyNumberFormat="1" applyFont="1" applyFill="1" applyBorder="1" applyAlignment="1">
      <alignment/>
    </xf>
    <xf numFmtId="3" fontId="37" fillId="0" borderId="94" xfId="0" applyNumberFormat="1" applyFont="1" applyFill="1" applyBorder="1" applyAlignment="1">
      <alignment horizontal="center"/>
    </xf>
    <xf numFmtId="3" fontId="38" fillId="0" borderId="29" xfId="0" applyNumberFormat="1" applyFont="1" applyFill="1" applyBorder="1" applyAlignment="1">
      <alignment horizontal="center"/>
    </xf>
    <xf numFmtId="3" fontId="26" fillId="33" borderId="76" xfId="0" applyNumberFormat="1" applyFont="1" applyFill="1" applyBorder="1" applyAlignment="1">
      <alignment horizontal="center"/>
    </xf>
    <xf numFmtId="3" fontId="26" fillId="33" borderId="77" xfId="0" applyNumberFormat="1" applyFont="1" applyFill="1" applyBorder="1" applyAlignment="1">
      <alignment horizontal="center"/>
    </xf>
    <xf numFmtId="3" fontId="26" fillId="0" borderId="132" xfId="0" applyNumberFormat="1" applyFont="1" applyFill="1" applyBorder="1" applyAlignment="1">
      <alignment horizontal="center"/>
    </xf>
    <xf numFmtId="165" fontId="26" fillId="0" borderId="23" xfId="46" applyNumberFormat="1" applyFont="1" applyFill="1" applyBorder="1" applyAlignment="1" applyProtection="1">
      <alignment horizontal="center"/>
      <protection/>
    </xf>
    <xf numFmtId="165" fontId="26" fillId="0" borderId="23" xfId="46" applyNumberFormat="1" applyFont="1" applyFill="1" applyBorder="1" applyAlignment="1" applyProtection="1">
      <alignment horizontal="right"/>
      <protection/>
    </xf>
    <xf numFmtId="165" fontId="26" fillId="0" borderId="95" xfId="46" applyNumberFormat="1" applyFont="1" applyFill="1" applyBorder="1" applyAlignment="1" applyProtection="1">
      <alignment/>
      <protection/>
    </xf>
    <xf numFmtId="3" fontId="22" fillId="0" borderId="121" xfId="0" applyNumberFormat="1" applyFont="1" applyFill="1" applyBorder="1" applyAlignment="1">
      <alignment horizontal="center"/>
    </xf>
    <xf numFmtId="165" fontId="22" fillId="0" borderId="54" xfId="46" applyNumberFormat="1" applyFont="1" applyFill="1" applyBorder="1" applyAlignment="1" applyProtection="1">
      <alignment horizontal="center"/>
      <protection/>
    </xf>
    <xf numFmtId="165" fontId="22" fillId="0" borderId="54" xfId="46" applyNumberFormat="1" applyFont="1" applyFill="1" applyBorder="1" applyAlignment="1" applyProtection="1">
      <alignment horizontal="right"/>
      <protection/>
    </xf>
    <xf numFmtId="165" fontId="22" fillId="0" borderId="78" xfId="46" applyNumberFormat="1" applyFont="1" applyFill="1" applyBorder="1" applyAlignment="1" applyProtection="1">
      <alignment horizontal="right"/>
      <protection/>
    </xf>
    <xf numFmtId="165" fontId="36" fillId="40" borderId="84" xfId="46" applyNumberFormat="1" applyFont="1" applyFill="1" applyBorder="1" applyAlignment="1" applyProtection="1">
      <alignment/>
      <protection/>
    </xf>
    <xf numFmtId="3" fontId="24" fillId="37" borderId="13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9" fillId="0" borderId="12" xfId="0" applyNumberFormat="1" applyFont="1" applyFill="1" applyBorder="1" applyAlignment="1">
      <alignment horizontal="left" wrapText="1"/>
    </xf>
    <xf numFmtId="3" fontId="0" fillId="0" borderId="12" xfId="0" applyNumberForma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19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 wrapText="1"/>
    </xf>
    <xf numFmtId="3" fontId="19" fillId="0" borderId="33" xfId="0" applyNumberFormat="1" applyFont="1" applyFill="1" applyBorder="1" applyAlignment="1">
      <alignment/>
    </xf>
    <xf numFmtId="3" fontId="26" fillId="0" borderId="58" xfId="0" applyNumberFormat="1" applyFont="1" applyFill="1" applyBorder="1" applyAlignment="1">
      <alignment/>
    </xf>
    <xf numFmtId="3" fontId="19" fillId="0" borderId="58" xfId="0" applyNumberFormat="1" applyFont="1" applyFill="1" applyBorder="1" applyAlignment="1">
      <alignment/>
    </xf>
    <xf numFmtId="3" fontId="37" fillId="0" borderId="13" xfId="0" applyNumberFormat="1" applyFont="1" applyFill="1" applyBorder="1" applyAlignment="1">
      <alignment horizontal="center"/>
    </xf>
    <xf numFmtId="3" fontId="37" fillId="0" borderId="33" xfId="0" applyNumberFormat="1" applyFont="1" applyFill="1" applyBorder="1" applyAlignment="1">
      <alignment horizontal="center"/>
    </xf>
    <xf numFmtId="3" fontId="37" fillId="0" borderId="12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 horizontal="right" wrapText="1"/>
    </xf>
    <xf numFmtId="3" fontId="37" fillId="0" borderId="12" xfId="0" applyNumberFormat="1" applyFont="1" applyFill="1" applyBorder="1" applyAlignment="1">
      <alignment horizontal="right"/>
    </xf>
    <xf numFmtId="0" fontId="0" fillId="0" borderId="58" xfId="0" applyFont="1" applyBorder="1" applyAlignment="1">
      <alignment/>
    </xf>
    <xf numFmtId="165" fontId="0" fillId="0" borderId="12" xfId="46" applyNumberFormat="1" applyFont="1" applyFill="1" applyBorder="1" applyAlignment="1" applyProtection="1">
      <alignment/>
      <protection/>
    </xf>
    <xf numFmtId="3" fontId="19" fillId="40" borderId="12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65" fontId="8" fillId="0" borderId="13" xfId="46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3" xfId="4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47" borderId="13" xfId="0" applyFont="1" applyFill="1" applyBorder="1" applyAlignment="1">
      <alignment horizontal="center"/>
    </xf>
    <xf numFmtId="0" fontId="5" fillId="47" borderId="13" xfId="0" applyFont="1" applyFill="1" applyBorder="1" applyAlignment="1">
      <alignment/>
    </xf>
    <xf numFmtId="165" fontId="5" fillId="47" borderId="13" xfId="46" applyNumberFormat="1" applyFont="1" applyFill="1" applyBorder="1" applyAlignment="1" applyProtection="1">
      <alignment/>
      <protection/>
    </xf>
    <xf numFmtId="165" fontId="0" fillId="0" borderId="13" xfId="46" applyNumberFormat="1" applyFont="1" applyFill="1" applyBorder="1" applyAlignment="1" applyProtection="1">
      <alignment/>
      <protection/>
    </xf>
    <xf numFmtId="0" fontId="9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5" fontId="0" fillId="0" borderId="10" xfId="46" applyNumberFormat="1" applyFont="1" applyFill="1" applyBorder="1" applyAlignment="1" applyProtection="1">
      <alignment/>
      <protection/>
    </xf>
    <xf numFmtId="0" fontId="5" fillId="47" borderId="16" xfId="0" applyFont="1" applyFill="1" applyBorder="1" applyAlignment="1">
      <alignment horizontal="center"/>
    </xf>
    <xf numFmtId="0" fontId="5" fillId="47" borderId="16" xfId="0" applyFont="1" applyFill="1" applyBorder="1" applyAlignment="1">
      <alignment/>
    </xf>
    <xf numFmtId="165" fontId="5" fillId="47" borderId="16" xfId="46" applyNumberFormat="1" applyFont="1" applyFill="1" applyBorder="1" applyAlignment="1" applyProtection="1">
      <alignment/>
      <protection/>
    </xf>
    <xf numFmtId="3" fontId="6" fillId="0" borderId="58" xfId="0" applyNumberFormat="1" applyFont="1" applyFill="1" applyBorder="1" applyAlignment="1">
      <alignment horizontal="center"/>
    </xf>
    <xf numFmtId="3" fontId="6" fillId="0" borderId="58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3" fontId="19" fillId="33" borderId="23" xfId="0" applyNumberFormat="1" applyFont="1" applyFill="1" applyBorder="1" applyAlignment="1">
      <alignment horizontal="left" wrapText="1"/>
    </xf>
    <xf numFmtId="3" fontId="19" fillId="33" borderId="58" xfId="0" applyNumberFormat="1" applyFont="1" applyFill="1" applyBorder="1" applyAlignment="1">
      <alignment horizontal="center"/>
    </xf>
    <xf numFmtId="3" fontId="19" fillId="41" borderId="58" xfId="0" applyNumberFormat="1" applyFont="1" applyFill="1" applyBorder="1" applyAlignment="1">
      <alignment wrapText="1"/>
    </xf>
    <xf numFmtId="3" fontId="19" fillId="33" borderId="58" xfId="0" applyNumberFormat="1" applyFont="1" applyFill="1" applyBorder="1" applyAlignment="1">
      <alignment/>
    </xf>
    <xf numFmtId="167" fontId="0" fillId="0" borderId="58" xfId="0" applyNumberFormat="1" applyFont="1" applyBorder="1" applyAlignment="1">
      <alignment horizontal="center"/>
    </xf>
    <xf numFmtId="3" fontId="0" fillId="0" borderId="67" xfId="0" applyNumberFormat="1" applyFont="1" applyFill="1" applyBorder="1" applyAlignment="1">
      <alignment horizontal="center"/>
    </xf>
    <xf numFmtId="167" fontId="0" fillId="0" borderId="67" xfId="0" applyNumberFormat="1" applyFont="1" applyBorder="1" applyAlignment="1">
      <alignment horizontal="center"/>
    </xf>
    <xf numFmtId="3" fontId="2" fillId="36" borderId="58" xfId="0" applyNumberFormat="1" applyFont="1" applyFill="1" applyBorder="1" applyAlignment="1">
      <alignment/>
    </xf>
    <xf numFmtId="167" fontId="2" fillId="0" borderId="58" xfId="0" applyNumberFormat="1" applyFont="1" applyBorder="1" applyAlignment="1">
      <alignment horizontal="center"/>
    </xf>
    <xf numFmtId="165" fontId="2" fillId="0" borderId="29" xfId="46" applyNumberFormat="1" applyFont="1" applyFill="1" applyBorder="1" applyAlignment="1" applyProtection="1">
      <alignment horizontal="right" vertical="center"/>
      <protection/>
    </xf>
    <xf numFmtId="165" fontId="0" fillId="0" borderId="11" xfId="46" applyNumberFormat="1" applyFill="1" applyBorder="1" applyAlignment="1" applyProtection="1">
      <alignment horizontal="right" vertical="center"/>
      <protection/>
    </xf>
    <xf numFmtId="165" fontId="0" fillId="36" borderId="11" xfId="46" applyNumberFormat="1" applyFill="1" applyBorder="1" applyAlignment="1" applyProtection="1">
      <alignment horizontal="right" vertical="center"/>
      <protection/>
    </xf>
    <xf numFmtId="165" fontId="2" fillId="0" borderId="11" xfId="46" applyNumberFormat="1" applyFont="1" applyFill="1" applyBorder="1" applyAlignment="1" applyProtection="1">
      <alignment horizontal="right" vertical="center"/>
      <protection/>
    </xf>
    <xf numFmtId="1" fontId="0" fillId="0" borderId="11" xfId="46" applyNumberFormat="1" applyFill="1" applyBorder="1" applyAlignment="1" applyProtection="1">
      <alignment horizontal="right" vertical="center"/>
      <protection/>
    </xf>
    <xf numFmtId="165" fontId="2" fillId="36" borderId="11" xfId="46" applyNumberFormat="1" applyFont="1" applyFill="1" applyBorder="1" applyAlignment="1" applyProtection="1">
      <alignment horizontal="right" vertical="center"/>
      <protection/>
    </xf>
    <xf numFmtId="1" fontId="2" fillId="0" borderId="11" xfId="46" applyNumberFormat="1" applyFont="1" applyFill="1" applyBorder="1" applyAlignment="1" applyProtection="1">
      <alignment horizontal="right" vertical="center"/>
      <protection/>
    </xf>
    <xf numFmtId="1" fontId="0" fillId="36" borderId="11" xfId="46" applyNumberFormat="1" applyFill="1" applyBorder="1" applyAlignment="1" applyProtection="1">
      <alignment horizontal="right" vertical="center"/>
      <protection/>
    </xf>
    <xf numFmtId="165" fontId="0" fillId="0" borderId="36" xfId="46" applyNumberFormat="1" applyFill="1" applyBorder="1" applyAlignment="1" applyProtection="1">
      <alignment horizontal="right" vertical="center"/>
      <protection/>
    </xf>
    <xf numFmtId="165" fontId="0" fillId="0" borderId="70" xfId="46" applyNumberFormat="1" applyFill="1" applyBorder="1" applyAlignment="1" applyProtection="1">
      <alignment horizontal="right" vertical="center"/>
      <protection/>
    </xf>
    <xf numFmtId="165" fontId="0" fillId="0" borderId="134" xfId="46" applyNumberFormat="1" applyFill="1" applyBorder="1" applyAlignment="1" applyProtection="1">
      <alignment horizontal="right" vertical="center"/>
      <protection/>
    </xf>
    <xf numFmtId="165" fontId="2" fillId="0" borderId="70" xfId="46" applyNumberFormat="1" applyFont="1" applyFill="1" applyBorder="1" applyAlignment="1" applyProtection="1">
      <alignment horizontal="right" vertical="center"/>
      <protection/>
    </xf>
    <xf numFmtId="165" fontId="2" fillId="33" borderId="95" xfId="46" applyNumberFormat="1" applyFont="1" applyFill="1" applyBorder="1" applyAlignment="1" applyProtection="1">
      <alignment horizontal="center" vertical="center"/>
      <protection/>
    </xf>
    <xf numFmtId="165" fontId="2" fillId="0" borderId="135" xfId="46" applyNumberFormat="1" applyFont="1" applyFill="1" applyBorder="1" applyAlignment="1" applyProtection="1">
      <alignment horizontal="right" vertical="center"/>
      <protection/>
    </xf>
    <xf numFmtId="165" fontId="0" fillId="36" borderId="136" xfId="46" applyNumberFormat="1" applyFill="1" applyBorder="1" applyAlignment="1" applyProtection="1">
      <alignment horizontal="right" vertical="center"/>
      <protection/>
    </xf>
    <xf numFmtId="165" fontId="2" fillId="36" borderId="136" xfId="46" applyNumberFormat="1" applyFont="1" applyFill="1" applyBorder="1" applyAlignment="1" applyProtection="1">
      <alignment horizontal="right" vertical="center"/>
      <protection/>
    </xf>
    <xf numFmtId="165" fontId="0" fillId="0" borderId="136" xfId="46" applyNumberFormat="1" applyFill="1" applyBorder="1" applyAlignment="1" applyProtection="1">
      <alignment horizontal="right" vertical="center"/>
      <protection/>
    </xf>
    <xf numFmtId="165" fontId="2" fillId="0" borderId="136" xfId="46" applyNumberFormat="1" applyFont="1" applyFill="1" applyBorder="1" applyAlignment="1" applyProtection="1">
      <alignment horizontal="right" vertical="center"/>
      <protection/>
    </xf>
    <xf numFmtId="165" fontId="0" fillId="0" borderId="137" xfId="46" applyNumberFormat="1" applyFill="1" applyBorder="1" applyAlignment="1" applyProtection="1">
      <alignment horizontal="right" vertical="center"/>
      <protection/>
    </xf>
    <xf numFmtId="165" fontId="0" fillId="0" borderId="138" xfId="46" applyNumberFormat="1" applyFill="1" applyBorder="1" applyAlignment="1" applyProtection="1">
      <alignment horizontal="right" vertical="center"/>
      <protection/>
    </xf>
    <xf numFmtId="165" fontId="0" fillId="0" borderId="139" xfId="46" applyNumberFormat="1" applyFill="1" applyBorder="1" applyAlignment="1" applyProtection="1">
      <alignment horizontal="right" vertical="center"/>
      <protection/>
    </xf>
    <xf numFmtId="165" fontId="2" fillId="0" borderId="138" xfId="46" applyNumberFormat="1" applyFont="1" applyFill="1" applyBorder="1" applyAlignment="1" applyProtection="1">
      <alignment horizontal="right" vertical="center"/>
      <protection/>
    </xf>
    <xf numFmtId="165" fontId="2" fillId="0" borderId="140" xfId="46" applyNumberFormat="1" applyFont="1" applyFill="1" applyBorder="1" applyAlignment="1" applyProtection="1">
      <alignment horizontal="right" vertical="center"/>
      <protection/>
    </xf>
    <xf numFmtId="165" fontId="8" fillId="0" borderId="141" xfId="46" applyNumberFormat="1" applyFont="1" applyFill="1" applyBorder="1" applyAlignment="1" applyProtection="1">
      <alignment horizontal="right" vertical="center"/>
      <protection/>
    </xf>
    <xf numFmtId="165" fontId="8" fillId="36" borderId="142" xfId="46" applyNumberFormat="1" applyFont="1" applyFill="1" applyBorder="1" applyAlignment="1" applyProtection="1">
      <alignment horizontal="right" vertical="center"/>
      <protection/>
    </xf>
    <xf numFmtId="3" fontId="35" fillId="0" borderId="143" xfId="0" applyNumberFormat="1" applyFont="1" applyBorder="1" applyAlignment="1">
      <alignment horizontal="center"/>
    </xf>
    <xf numFmtId="3" fontId="2" fillId="0" borderId="144" xfId="0" applyNumberFormat="1" applyFont="1" applyBorder="1" applyAlignment="1">
      <alignment horizontal="center"/>
    </xf>
    <xf numFmtId="3" fontId="8" fillId="0" borderId="145" xfId="0" applyNumberFormat="1" applyFont="1" applyBorder="1" applyAlignment="1">
      <alignment horizontal="center"/>
    </xf>
    <xf numFmtId="3" fontId="8" fillId="0" borderId="146" xfId="0" applyNumberFormat="1" applyFont="1" applyBorder="1" applyAlignment="1">
      <alignment horizontal="center"/>
    </xf>
    <xf numFmtId="165" fontId="8" fillId="36" borderId="147" xfId="46" applyNumberFormat="1" applyFont="1" applyFill="1" applyBorder="1" applyAlignment="1" applyProtection="1">
      <alignment horizontal="right" vertical="center"/>
      <protection/>
    </xf>
    <xf numFmtId="165" fontId="5" fillId="46" borderId="148" xfId="46" applyNumberFormat="1" applyFont="1" applyFill="1" applyBorder="1" applyAlignment="1" applyProtection="1">
      <alignment horizontal="center" vertical="center"/>
      <protection/>
    </xf>
    <xf numFmtId="165" fontId="5" fillId="46" borderId="149" xfId="46" applyNumberFormat="1" applyFont="1" applyFill="1" applyBorder="1" applyAlignment="1" applyProtection="1">
      <alignment horizontal="center" vertical="center"/>
      <protection/>
    </xf>
    <xf numFmtId="3" fontId="5" fillId="41" borderId="123" xfId="0" applyNumberFormat="1" applyFont="1" applyFill="1" applyBorder="1" applyAlignment="1">
      <alignment horizontal="center" vertical="center"/>
    </xf>
    <xf numFmtId="165" fontId="0" fillId="0" borderId="84" xfId="46" applyNumberFormat="1" applyFont="1" applyFill="1" applyBorder="1" applyAlignment="1" applyProtection="1">
      <alignment/>
      <protection/>
    </xf>
    <xf numFmtId="165" fontId="28" fillId="0" borderId="23" xfId="46" applyNumberFormat="1" applyFont="1" applyFill="1" applyBorder="1" applyAlignment="1" applyProtection="1">
      <alignment/>
      <protection/>
    </xf>
    <xf numFmtId="165" fontId="0" fillId="48" borderId="26" xfId="46" applyNumberFormat="1" applyFill="1" applyBorder="1" applyAlignment="1" applyProtection="1">
      <alignment/>
      <protection/>
    </xf>
    <xf numFmtId="165" fontId="37" fillId="40" borderId="12" xfId="46" applyNumberFormat="1" applyFont="1" applyFill="1" applyBorder="1" applyAlignment="1" applyProtection="1">
      <alignment horizontal="right"/>
      <protection/>
    </xf>
    <xf numFmtId="165" fontId="19" fillId="40" borderId="12" xfId="46" applyNumberFormat="1" applyFont="1" applyFill="1" applyBorder="1" applyAlignment="1" applyProtection="1">
      <alignment horizontal="right"/>
      <protection/>
    </xf>
    <xf numFmtId="165" fontId="36" fillId="40" borderId="12" xfId="46" applyNumberFormat="1" applyFont="1" applyFill="1" applyBorder="1" applyAlignment="1" applyProtection="1">
      <alignment horizontal="right"/>
      <protection/>
    </xf>
    <xf numFmtId="165" fontId="26" fillId="40" borderId="12" xfId="46" applyNumberFormat="1" applyFont="1" applyFill="1" applyBorder="1" applyAlignment="1" applyProtection="1">
      <alignment horizontal="right" vertical="center" wrapText="1"/>
      <protection/>
    </xf>
    <xf numFmtId="165" fontId="26" fillId="40" borderId="12" xfId="46" applyNumberFormat="1" applyFont="1" applyFill="1" applyBorder="1" applyAlignment="1" applyProtection="1">
      <alignment/>
      <protection/>
    </xf>
    <xf numFmtId="165" fontId="37" fillId="40" borderId="12" xfId="46" applyNumberFormat="1" applyFont="1" applyFill="1" applyBorder="1" applyAlignment="1" applyProtection="1">
      <alignment/>
      <protection/>
    </xf>
    <xf numFmtId="165" fontId="19" fillId="40" borderId="12" xfId="46" applyNumberFormat="1" applyFont="1" applyFill="1" applyBorder="1" applyAlignment="1" applyProtection="1">
      <alignment/>
      <protection/>
    </xf>
    <xf numFmtId="165" fontId="26" fillId="40" borderId="12" xfId="46" applyNumberFormat="1" applyFont="1" applyFill="1" applyBorder="1" applyAlignment="1" applyProtection="1">
      <alignment horizontal="right"/>
      <protection/>
    </xf>
    <xf numFmtId="3" fontId="37" fillId="40" borderId="12" xfId="0" applyNumberFormat="1" applyFont="1" applyFill="1" applyBorder="1" applyAlignment="1">
      <alignment/>
    </xf>
    <xf numFmtId="165" fontId="8" fillId="40" borderId="91" xfId="46" applyNumberFormat="1" applyFont="1" applyFill="1" applyBorder="1" applyAlignment="1" applyProtection="1">
      <alignment/>
      <protection/>
    </xf>
    <xf numFmtId="3" fontId="19" fillId="49" borderId="12" xfId="0" applyNumberFormat="1" applyFont="1" applyFill="1" applyBorder="1" applyAlignment="1">
      <alignment/>
    </xf>
    <xf numFmtId="3" fontId="0" fillId="0" borderId="58" xfId="0" applyNumberForma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 vertical="center" wrapText="1"/>
    </xf>
    <xf numFmtId="3" fontId="26" fillId="0" borderId="58" xfId="0" applyNumberFormat="1" applyFont="1" applyFill="1" applyBorder="1" applyAlignment="1">
      <alignment horizontal="center"/>
    </xf>
    <xf numFmtId="165" fontId="26" fillId="0" borderId="58" xfId="46" applyNumberFormat="1" applyFont="1" applyFill="1" applyBorder="1" applyAlignment="1" applyProtection="1">
      <alignment/>
      <protection/>
    </xf>
    <xf numFmtId="165" fontId="0" fillId="0" borderId="58" xfId="46" applyNumberFormat="1" applyFont="1" applyFill="1" applyBorder="1" applyAlignment="1" applyProtection="1">
      <alignment/>
      <protection/>
    </xf>
    <xf numFmtId="3" fontId="2" fillId="0" borderId="68" xfId="0" applyNumberFormat="1" applyFont="1" applyFill="1" applyBorder="1" applyAlignment="1">
      <alignment horizontal="center"/>
    </xf>
    <xf numFmtId="0" fontId="2" fillId="0" borderId="68" xfId="0" applyFont="1" applyFill="1" applyBorder="1" applyAlignment="1">
      <alignment/>
    </xf>
    <xf numFmtId="3" fontId="2" fillId="33" borderId="150" xfId="0" applyNumberFormat="1" applyFont="1" applyFill="1" applyBorder="1" applyAlignment="1">
      <alignment horizontal="center" vertical="center" wrapText="1"/>
    </xf>
    <xf numFmtId="3" fontId="2" fillId="33" borderId="151" xfId="0" applyNumberFormat="1" applyFont="1" applyFill="1" applyBorder="1" applyAlignment="1">
      <alignment horizontal="center" vertical="center" wrapText="1"/>
    </xf>
    <xf numFmtId="165" fontId="2" fillId="33" borderId="146" xfId="46" applyNumberFormat="1" applyFont="1" applyFill="1" applyBorder="1" applyAlignment="1" applyProtection="1">
      <alignment horizontal="center"/>
      <protection/>
    </xf>
    <xf numFmtId="165" fontId="2" fillId="33" borderId="147" xfId="46" applyNumberFormat="1" applyFont="1" applyFill="1" applyBorder="1" applyAlignment="1" applyProtection="1">
      <alignment horizontal="center"/>
      <protection/>
    </xf>
    <xf numFmtId="3" fontId="0" fillId="0" borderId="67" xfId="0" applyNumberFormat="1" applyFill="1" applyBorder="1" applyAlignment="1">
      <alignment horizontal="center"/>
    </xf>
    <xf numFmtId="165" fontId="0" fillId="0" borderId="67" xfId="46" applyNumberFormat="1" applyFill="1" applyBorder="1" applyAlignment="1" applyProtection="1">
      <alignment/>
      <protection/>
    </xf>
    <xf numFmtId="3" fontId="2" fillId="37" borderId="123" xfId="0" applyNumberFormat="1" applyFont="1" applyFill="1" applyBorder="1" applyAlignment="1">
      <alignment horizontal="center"/>
    </xf>
    <xf numFmtId="3" fontId="2" fillId="37" borderId="69" xfId="0" applyNumberFormat="1" applyFont="1" applyFill="1" applyBorder="1" applyAlignment="1">
      <alignment horizontal="center"/>
    </xf>
    <xf numFmtId="165" fontId="2" fillId="37" borderId="69" xfId="46" applyNumberFormat="1" applyFont="1" applyFill="1" applyBorder="1" applyAlignment="1" applyProtection="1">
      <alignment/>
      <protection/>
    </xf>
    <xf numFmtId="165" fontId="2" fillId="37" borderId="100" xfId="46" applyNumberFormat="1" applyFont="1" applyFill="1" applyBorder="1" applyAlignment="1" applyProtection="1">
      <alignment/>
      <protection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wrapText="1"/>
    </xf>
    <xf numFmtId="3" fontId="0" fillId="0" borderId="16" xfId="0" applyNumberFormat="1" applyFill="1" applyBorder="1" applyAlignment="1">
      <alignment horizontal="center"/>
    </xf>
    <xf numFmtId="165" fontId="8" fillId="40" borderId="14" xfId="46" applyNumberFormat="1" applyFont="1" applyFill="1" applyBorder="1" applyAlignment="1" applyProtection="1">
      <alignment/>
      <protection/>
    </xf>
    <xf numFmtId="171" fontId="1" fillId="0" borderId="21" xfId="64" applyNumberFormat="1" applyFont="1" applyFill="1" applyBorder="1" applyAlignment="1" applyProtection="1">
      <alignment/>
      <protection/>
    </xf>
    <xf numFmtId="3" fontId="5" fillId="33" borderId="52" xfId="0" applyNumberFormat="1" applyFont="1" applyFill="1" applyBorder="1" applyAlignment="1">
      <alignment horizontal="center" vertical="center"/>
    </xf>
    <xf numFmtId="3" fontId="5" fillId="33" borderId="54" xfId="0" applyNumberFormat="1" applyFont="1" applyFill="1" applyBorder="1" applyAlignment="1">
      <alignment vertical="center"/>
    </xf>
    <xf numFmtId="165" fontId="5" fillId="33" borderId="54" xfId="46" applyNumberFormat="1" applyFont="1" applyFill="1" applyBorder="1" applyAlignment="1" applyProtection="1">
      <alignment vertical="center"/>
      <protection/>
    </xf>
    <xf numFmtId="171" fontId="5" fillId="37" borderId="78" xfId="64" applyNumberFormat="1" applyFont="1" applyFill="1" applyBorder="1" applyAlignment="1" applyProtection="1">
      <alignment vertical="center"/>
      <protection/>
    </xf>
    <xf numFmtId="3" fontId="6" fillId="0" borderId="152" xfId="0" applyNumberFormat="1" applyFont="1" applyFill="1" applyBorder="1" applyAlignment="1">
      <alignment horizontal="center"/>
    </xf>
    <xf numFmtId="3" fontId="9" fillId="0" borderId="153" xfId="0" applyNumberFormat="1" applyFont="1" applyFill="1" applyBorder="1" applyAlignment="1">
      <alignment horizontal="center"/>
    </xf>
    <xf numFmtId="3" fontId="6" fillId="0" borderId="153" xfId="0" applyNumberFormat="1" applyFont="1" applyFill="1" applyBorder="1" applyAlignment="1">
      <alignment horizontal="center"/>
    </xf>
    <xf numFmtId="165" fontId="6" fillId="0" borderId="153" xfId="46" applyNumberFormat="1" applyFont="1" applyFill="1" applyBorder="1" applyAlignment="1" applyProtection="1">
      <alignment/>
      <protection/>
    </xf>
    <xf numFmtId="171" fontId="6" fillId="0" borderId="154" xfId="46" applyNumberFormat="1" applyFont="1" applyFill="1" applyBorder="1" applyAlignment="1" applyProtection="1">
      <alignment/>
      <protection/>
    </xf>
    <xf numFmtId="3" fontId="2" fillId="0" borderId="155" xfId="0" applyNumberFormat="1" applyFont="1" applyFill="1" applyBorder="1" applyAlignment="1">
      <alignment horizontal="center"/>
    </xf>
    <xf numFmtId="3" fontId="0" fillId="0" borderId="66" xfId="0" applyNumberFormat="1" applyFont="1" applyFill="1" applyBorder="1" applyAlignment="1">
      <alignment horizontal="center"/>
    </xf>
    <xf numFmtId="3" fontId="2" fillId="0" borderId="66" xfId="0" applyNumberFormat="1" applyFont="1" applyFill="1" applyBorder="1" applyAlignment="1">
      <alignment/>
    </xf>
    <xf numFmtId="165" fontId="2" fillId="36" borderId="66" xfId="46" applyNumberFormat="1" applyFont="1" applyFill="1" applyBorder="1" applyAlignment="1" applyProtection="1">
      <alignment/>
      <protection/>
    </xf>
    <xf numFmtId="9" fontId="0" fillId="0" borderId="62" xfId="64" applyFill="1" applyBorder="1" applyAlignment="1" applyProtection="1">
      <alignment/>
      <protection/>
    </xf>
    <xf numFmtId="171" fontId="2" fillId="0" borderId="91" xfId="64" applyNumberFormat="1" applyFont="1" applyFill="1" applyBorder="1" applyAlignment="1" applyProtection="1">
      <alignment/>
      <protection/>
    </xf>
    <xf numFmtId="3" fontId="2" fillId="0" borderId="156" xfId="0" applyNumberFormat="1" applyFont="1" applyFill="1" applyBorder="1" applyAlignment="1">
      <alignment horizontal="center"/>
    </xf>
    <xf numFmtId="3" fontId="0" fillId="0" borderId="156" xfId="0" applyNumberFormat="1" applyFont="1" applyFill="1" applyBorder="1" applyAlignment="1">
      <alignment horizontal="center"/>
    </xf>
    <xf numFmtId="171" fontId="0" fillId="0" borderId="91" xfId="64" applyNumberFormat="1" applyFill="1" applyBorder="1" applyAlignment="1" applyProtection="1">
      <alignment/>
      <protection/>
    </xf>
    <xf numFmtId="3" fontId="0" fillId="0" borderId="157" xfId="0" applyNumberFormat="1" applyFont="1" applyFill="1" applyBorder="1" applyAlignment="1">
      <alignment horizontal="center"/>
    </xf>
    <xf numFmtId="3" fontId="0" fillId="0" borderId="158" xfId="0" applyNumberFormat="1" applyFont="1" applyFill="1" applyBorder="1" applyAlignment="1">
      <alignment horizontal="center"/>
    </xf>
    <xf numFmtId="3" fontId="2" fillId="0" borderId="159" xfId="0" applyNumberFormat="1" applyFont="1" applyFill="1" applyBorder="1" applyAlignment="1">
      <alignment horizontal="center"/>
    </xf>
    <xf numFmtId="3" fontId="2" fillId="0" borderId="146" xfId="0" applyNumberFormat="1" applyFont="1" applyFill="1" applyBorder="1" applyAlignment="1">
      <alignment horizontal="center"/>
    </xf>
    <xf numFmtId="3" fontId="6" fillId="0" borderId="146" xfId="0" applyNumberFormat="1" applyFont="1" applyFill="1" applyBorder="1" applyAlignment="1">
      <alignment horizontal="center"/>
    </xf>
    <xf numFmtId="165" fontId="2" fillId="0" borderId="146" xfId="46" applyNumberFormat="1" applyFont="1" applyFill="1" applyBorder="1" applyAlignment="1" applyProtection="1">
      <alignment/>
      <protection/>
    </xf>
    <xf numFmtId="171" fontId="0" fillId="0" borderId="147" xfId="64" applyNumberFormat="1" applyFill="1" applyBorder="1" applyAlignment="1" applyProtection="1">
      <alignment/>
      <protection/>
    </xf>
    <xf numFmtId="171" fontId="2" fillId="0" borderId="26" xfId="64" applyNumberFormat="1" applyFont="1" applyFill="1" applyBorder="1" applyAlignment="1" applyProtection="1">
      <alignment/>
      <protection/>
    </xf>
    <xf numFmtId="3" fontId="6" fillId="36" borderId="153" xfId="0" applyNumberFormat="1" applyFont="1" applyFill="1" applyBorder="1" applyAlignment="1">
      <alignment horizontal="center" vertical="center" wrapText="1"/>
    </xf>
    <xf numFmtId="165" fontId="6" fillId="36" borderId="153" xfId="46" applyNumberFormat="1" applyFont="1" applyFill="1" applyBorder="1" applyAlignment="1" applyProtection="1">
      <alignment vertical="center"/>
      <protection/>
    </xf>
    <xf numFmtId="171" fontId="2" fillId="0" borderId="154" xfId="64" applyNumberFormat="1" applyFont="1" applyFill="1" applyBorder="1" applyAlignment="1" applyProtection="1">
      <alignment vertical="center"/>
      <protection/>
    </xf>
    <xf numFmtId="3" fontId="2" fillId="0" borderId="58" xfId="0" applyNumberFormat="1" applyFont="1" applyFill="1" applyBorder="1" applyAlignment="1">
      <alignment wrapText="1"/>
    </xf>
    <xf numFmtId="3" fontId="6" fillId="0" borderId="58" xfId="0" applyNumberFormat="1" applyFont="1" applyFill="1" applyBorder="1" applyAlignment="1">
      <alignment horizontal="center" vertical="center"/>
    </xf>
    <xf numFmtId="165" fontId="6" fillId="0" borderId="58" xfId="46" applyNumberFormat="1" applyFont="1" applyFill="1" applyBorder="1" applyAlignment="1" applyProtection="1">
      <alignment vertical="center"/>
      <protection/>
    </xf>
    <xf numFmtId="3" fontId="2" fillId="0" borderId="160" xfId="0" applyNumberFormat="1" applyFont="1" applyFill="1" applyBorder="1" applyAlignment="1">
      <alignment horizontal="center"/>
    </xf>
    <xf numFmtId="3" fontId="2" fillId="0" borderId="150" xfId="0" applyNumberFormat="1" applyFont="1" applyFill="1" applyBorder="1" applyAlignment="1">
      <alignment horizontal="center"/>
    </xf>
    <xf numFmtId="3" fontId="2" fillId="0" borderId="150" xfId="0" applyNumberFormat="1" applyFont="1" applyFill="1" applyBorder="1" applyAlignment="1">
      <alignment wrapText="1"/>
    </xf>
    <xf numFmtId="165" fontId="2" fillId="36" borderId="150" xfId="46" applyNumberFormat="1" applyFont="1" applyFill="1" applyBorder="1" applyAlignment="1" applyProtection="1">
      <alignment/>
      <protection/>
    </xf>
    <xf numFmtId="3" fontId="5" fillId="37" borderId="161" xfId="0" applyNumberFormat="1" applyFont="1" applyFill="1" applyBorder="1" applyAlignment="1">
      <alignment horizontal="center" vertical="center"/>
    </xf>
    <xf numFmtId="165" fontId="5" fillId="37" borderId="161" xfId="46" applyNumberFormat="1" applyFont="1" applyFill="1" applyBorder="1" applyAlignment="1" applyProtection="1">
      <alignment horizontal="center" vertical="center"/>
      <protection/>
    </xf>
    <xf numFmtId="171" fontId="0" fillId="0" borderId="151" xfId="64" applyNumberFormat="1" applyFill="1" applyBorder="1" applyAlignment="1" applyProtection="1">
      <alignment/>
      <protection/>
    </xf>
    <xf numFmtId="171" fontId="5" fillId="37" borderId="162" xfId="46" applyNumberFormat="1" applyFont="1" applyFill="1" applyBorder="1" applyAlignment="1" applyProtection="1">
      <alignment horizontal="center" vertical="center"/>
      <protection/>
    </xf>
    <xf numFmtId="165" fontId="0" fillId="40" borderId="108" xfId="46" applyNumberFormat="1" applyFont="1" applyFill="1" applyBorder="1" applyAlignment="1" applyProtection="1">
      <alignment/>
      <protection/>
    </xf>
    <xf numFmtId="165" fontId="0" fillId="40" borderId="21" xfId="46" applyNumberFormat="1" applyFont="1" applyFill="1" applyBorder="1" applyAlignment="1" applyProtection="1">
      <alignment horizontal="center" vertical="center"/>
      <protection/>
    </xf>
    <xf numFmtId="165" fontId="0" fillId="36" borderId="43" xfId="46" applyNumberFormat="1" applyFont="1" applyFill="1" applyBorder="1" applyAlignment="1" applyProtection="1">
      <alignment/>
      <protection/>
    </xf>
    <xf numFmtId="3" fontId="0" fillId="0" borderId="163" xfId="0" applyNumberFormat="1" applyFont="1" applyFill="1" applyBorder="1" applyAlignment="1">
      <alignment horizontal="center"/>
    </xf>
    <xf numFmtId="3" fontId="2" fillId="0" borderId="161" xfId="0" applyNumberFormat="1" applyFont="1" applyFill="1" applyBorder="1" applyAlignment="1">
      <alignment horizontal="center"/>
    </xf>
    <xf numFmtId="0" fontId="2" fillId="0" borderId="161" xfId="0" applyFont="1" applyBorder="1" applyAlignment="1">
      <alignment/>
    </xf>
    <xf numFmtId="165" fontId="2" fillId="36" borderId="161" xfId="46" applyNumberFormat="1" applyFont="1" applyFill="1" applyBorder="1" applyAlignment="1" applyProtection="1">
      <alignment/>
      <protection/>
    </xf>
    <xf numFmtId="165" fontId="0" fillId="36" borderId="58" xfId="46" applyNumberFormat="1" applyFont="1" applyFill="1" applyBorder="1" applyAlignment="1" applyProtection="1">
      <alignment/>
      <protection/>
    </xf>
    <xf numFmtId="165" fontId="2" fillId="0" borderId="75" xfId="46" applyNumberFormat="1" applyFont="1" applyFill="1" applyBorder="1" applyAlignment="1" applyProtection="1">
      <alignment horizontal="right" vertical="center"/>
      <protection/>
    </xf>
    <xf numFmtId="165" fontId="2" fillId="0" borderId="164" xfId="46" applyNumberFormat="1" applyFont="1" applyFill="1" applyBorder="1" applyAlignment="1" applyProtection="1">
      <alignment horizontal="right" vertical="center"/>
      <protection/>
    </xf>
    <xf numFmtId="3" fontId="2" fillId="43" borderId="67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40" borderId="68" xfId="0" applyNumberFormat="1" applyFont="1" applyFill="1" applyBorder="1" applyAlignment="1">
      <alignment/>
    </xf>
    <xf numFmtId="3" fontId="33" fillId="0" borderId="58" xfId="0" applyNumberFormat="1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" fillId="33" borderId="54" xfId="0" applyNumberFormat="1" applyFont="1" applyFill="1" applyBorder="1" applyAlignment="1">
      <alignment horizontal="center" vertical="center"/>
    </xf>
    <xf numFmtId="165" fontId="2" fillId="33" borderId="54" xfId="46" applyNumberFormat="1" applyFont="1" applyFill="1" applyBorder="1" applyAlignment="1" applyProtection="1">
      <alignment horizontal="center" vertical="center"/>
      <protection/>
    </xf>
    <xf numFmtId="3" fontId="0" fillId="0" borderId="67" xfId="0" applyNumberFormat="1" applyFont="1" applyFill="1" applyBorder="1" applyAlignment="1">
      <alignment/>
    </xf>
    <xf numFmtId="165" fontId="0" fillId="0" borderId="127" xfId="46" applyNumberFormat="1" applyFont="1" applyFill="1" applyBorder="1" applyAlignment="1" applyProtection="1">
      <alignment/>
      <protection/>
    </xf>
    <xf numFmtId="165" fontId="0" fillId="0" borderId="14" xfId="46" applyNumberFormat="1" applyFont="1" applyFill="1" applyBorder="1" applyAlignment="1" applyProtection="1">
      <alignment horizontal="center"/>
      <protection/>
    </xf>
    <xf numFmtId="165" fontId="0" fillId="0" borderId="43" xfId="46" applyNumberFormat="1" applyFont="1" applyFill="1" applyBorder="1" applyAlignment="1" applyProtection="1">
      <alignment horizontal="center"/>
      <protection/>
    </xf>
    <xf numFmtId="165" fontId="0" fillId="0" borderId="58" xfId="46" applyNumberFormat="1" applyFont="1" applyFill="1" applyBorder="1" applyAlignment="1" applyProtection="1">
      <alignment horizontal="center"/>
      <protection/>
    </xf>
    <xf numFmtId="165" fontId="0" fillId="0" borderId="31" xfId="46" applyNumberFormat="1" applyFont="1" applyFill="1" applyBorder="1" applyAlignment="1" applyProtection="1">
      <alignment/>
      <protection/>
    </xf>
    <xf numFmtId="0" fontId="2" fillId="0" borderId="58" xfId="0" applyFont="1" applyBorder="1" applyAlignment="1">
      <alignment/>
    </xf>
    <xf numFmtId="165" fontId="0" fillId="0" borderId="12" xfId="46" applyNumberFormat="1" applyBorder="1" applyAlignment="1">
      <alignment/>
    </xf>
    <xf numFmtId="165" fontId="0" fillId="0" borderId="11" xfId="46" applyNumberFormat="1" applyBorder="1" applyAlignment="1">
      <alignment/>
    </xf>
    <xf numFmtId="165" fontId="2" fillId="0" borderId="12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3" fontId="0" fillId="0" borderId="57" xfId="0" applyNumberFormat="1" applyFont="1" applyFill="1" applyBorder="1" applyAlignment="1">
      <alignment horizontal="center"/>
    </xf>
    <xf numFmtId="165" fontId="0" fillId="0" borderId="23" xfId="46" applyNumberFormat="1" applyFill="1" applyBorder="1" applyAlignment="1" applyProtection="1">
      <alignment horizontal="center" vertical="center"/>
      <protection/>
    </xf>
    <xf numFmtId="3" fontId="1" fillId="33" borderId="16" xfId="0" applyNumberFormat="1" applyFont="1" applyFill="1" applyBorder="1" applyAlignment="1">
      <alignment wrapText="1"/>
    </xf>
    <xf numFmtId="3" fontId="2" fillId="33" borderId="14" xfId="0" applyNumberFormat="1" applyFont="1" applyFill="1" applyBorder="1" applyAlignment="1">
      <alignment/>
    </xf>
    <xf numFmtId="165" fontId="2" fillId="33" borderId="14" xfId="46" applyNumberFormat="1" applyFont="1" applyFill="1" applyBorder="1" applyAlignment="1" applyProtection="1">
      <alignment/>
      <protection/>
    </xf>
    <xf numFmtId="165" fontId="0" fillId="0" borderId="58" xfId="46" applyNumberFormat="1" applyFill="1" applyBorder="1" applyAlignment="1" applyProtection="1">
      <alignment horizontal="center" vertical="center"/>
      <protection/>
    </xf>
    <xf numFmtId="165" fontId="2" fillId="0" borderId="58" xfId="46" applyNumberFormat="1" applyFont="1" applyFill="1" applyBorder="1" applyAlignment="1" applyProtection="1">
      <alignment horizontal="center" vertical="center"/>
      <protection/>
    </xf>
    <xf numFmtId="165" fontId="0" fillId="0" borderId="23" xfId="46" applyNumberFormat="1" applyFont="1" applyFill="1" applyBorder="1" applyAlignment="1" applyProtection="1">
      <alignment horizontal="center"/>
      <protection/>
    </xf>
    <xf numFmtId="165" fontId="2" fillId="0" borderId="54" xfId="46" applyNumberFormat="1" applyFont="1" applyFill="1" applyBorder="1" applyAlignment="1" applyProtection="1">
      <alignment/>
      <protection/>
    </xf>
    <xf numFmtId="165" fontId="2" fillId="0" borderId="78" xfId="46" applyNumberFormat="1" applyFont="1" applyFill="1" applyBorder="1" applyAlignment="1" applyProtection="1">
      <alignment/>
      <protection/>
    </xf>
    <xf numFmtId="3" fontId="29" fillId="0" borderId="58" xfId="0" applyNumberFormat="1" applyFont="1" applyFill="1" applyBorder="1" applyAlignment="1">
      <alignment horizontal="center"/>
    </xf>
    <xf numFmtId="165" fontId="28" fillId="0" borderId="58" xfId="46" applyNumberFormat="1" applyFont="1" applyFill="1" applyBorder="1" applyAlignment="1" applyProtection="1">
      <alignment/>
      <protection/>
    </xf>
    <xf numFmtId="3" fontId="22" fillId="0" borderId="165" xfId="0" applyNumberFormat="1" applyFont="1" applyFill="1" applyBorder="1" applyAlignment="1">
      <alignment horizontal="center"/>
    </xf>
    <xf numFmtId="3" fontId="22" fillId="0" borderId="102" xfId="0" applyNumberFormat="1" applyFont="1" applyFill="1" applyBorder="1" applyAlignment="1">
      <alignment horizontal="center"/>
    </xf>
    <xf numFmtId="165" fontId="22" fillId="0" borderId="102" xfId="46" applyNumberFormat="1" applyFont="1" applyFill="1" applyBorder="1" applyAlignment="1" applyProtection="1">
      <alignment horizontal="right"/>
      <protection/>
    </xf>
    <xf numFmtId="165" fontId="22" fillId="0" borderId="103" xfId="46" applyNumberFormat="1" applyFont="1" applyFill="1" applyBorder="1" applyAlignment="1" applyProtection="1">
      <alignment horizontal="right"/>
      <protection/>
    </xf>
    <xf numFmtId="3" fontId="19" fillId="0" borderId="58" xfId="0" applyNumberFormat="1" applyFont="1" applyFill="1" applyBorder="1" applyAlignment="1">
      <alignment horizontal="center"/>
    </xf>
    <xf numFmtId="165" fontId="19" fillId="0" borderId="58" xfId="46" applyNumberFormat="1" applyFont="1" applyFill="1" applyBorder="1" applyAlignment="1" applyProtection="1">
      <alignment horizontal="right"/>
      <protection/>
    </xf>
    <xf numFmtId="3" fontId="19" fillId="0" borderId="143" xfId="0" applyNumberFormat="1" applyFont="1" applyFill="1" applyBorder="1" applyAlignment="1">
      <alignment horizontal="center"/>
    </xf>
    <xf numFmtId="165" fontId="19" fillId="0" borderId="81" xfId="46" applyNumberFormat="1" applyFont="1" applyFill="1" applyBorder="1" applyAlignment="1" applyProtection="1">
      <alignment horizontal="center"/>
      <protection/>
    </xf>
    <xf numFmtId="165" fontId="19" fillId="0" borderId="81" xfId="46" applyNumberFormat="1" applyFont="1" applyFill="1" applyBorder="1" applyAlignment="1" applyProtection="1">
      <alignment horizontal="right"/>
      <protection/>
    </xf>
    <xf numFmtId="165" fontId="19" fillId="0" borderId="75" xfId="46" applyNumberFormat="1" applyFont="1" applyFill="1" applyBorder="1" applyAlignment="1" applyProtection="1">
      <alignment/>
      <protection/>
    </xf>
    <xf numFmtId="3" fontId="29" fillId="0" borderId="113" xfId="0" applyNumberFormat="1" applyFont="1" applyFill="1" applyBorder="1" applyAlignment="1">
      <alignment horizontal="center"/>
    </xf>
    <xf numFmtId="165" fontId="28" fillId="40" borderId="91" xfId="46" applyNumberFormat="1" applyFont="1" applyFill="1" applyBorder="1" applyAlignment="1" applyProtection="1">
      <alignment/>
      <protection/>
    </xf>
    <xf numFmtId="3" fontId="19" fillId="0" borderId="113" xfId="0" applyNumberFormat="1" applyFont="1" applyFill="1" applyBorder="1" applyAlignment="1">
      <alignment horizontal="center"/>
    </xf>
    <xf numFmtId="165" fontId="19" fillId="40" borderId="95" xfId="46" applyNumberFormat="1" applyFont="1" applyFill="1" applyBorder="1" applyAlignment="1" applyProtection="1">
      <alignment/>
      <protection/>
    </xf>
    <xf numFmtId="3" fontId="5" fillId="0" borderId="58" xfId="0" applyNumberFormat="1" applyFont="1" applyFill="1" applyBorder="1" applyAlignment="1">
      <alignment/>
    </xf>
    <xf numFmtId="3" fontId="2" fillId="41" borderId="58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40" borderId="17" xfId="0" applyNumberFormat="1" applyFont="1" applyFill="1" applyBorder="1" applyAlignment="1">
      <alignment horizontal="center"/>
    </xf>
    <xf numFmtId="3" fontId="33" fillId="0" borderId="17" xfId="0" applyNumberFormat="1" applyFont="1" applyBorder="1" applyAlignment="1">
      <alignment horizontal="center"/>
    </xf>
    <xf numFmtId="3" fontId="33" fillId="0" borderId="166" xfId="0" applyNumberFormat="1" applyFont="1" applyBorder="1" applyAlignment="1">
      <alignment horizontal="center"/>
    </xf>
    <xf numFmtId="3" fontId="2" fillId="33" borderId="167" xfId="0" applyNumberFormat="1" applyFont="1" applyFill="1" applyBorder="1" applyAlignment="1">
      <alignment horizontal="center"/>
    </xf>
    <xf numFmtId="3" fontId="2" fillId="41" borderId="167" xfId="0" applyNumberFormat="1" applyFont="1" applyFill="1" applyBorder="1" applyAlignment="1">
      <alignment horizontal="center"/>
    </xf>
    <xf numFmtId="3" fontId="0" fillId="0" borderId="166" xfId="0" applyNumberFormat="1" applyFont="1" applyBorder="1" applyAlignment="1">
      <alignment horizontal="center"/>
    </xf>
    <xf numFmtId="3" fontId="2" fillId="37" borderId="167" xfId="0" applyNumberFormat="1" applyFont="1" applyFill="1" applyBorder="1" applyAlignment="1">
      <alignment horizontal="center" vertical="center"/>
    </xf>
    <xf numFmtId="3" fontId="0" fillId="0" borderId="71" xfId="0" applyNumberFormat="1" applyFont="1" applyBorder="1" applyAlignment="1">
      <alignment horizontal="center"/>
    </xf>
    <xf numFmtId="3" fontId="2" fillId="37" borderId="80" xfId="0" applyNumberFormat="1" applyFont="1" applyFill="1" applyBorder="1" applyAlignment="1">
      <alignment horizontal="center"/>
    </xf>
    <xf numFmtId="3" fontId="0" fillId="0" borderId="71" xfId="0" applyNumberFormat="1" applyFill="1" applyBorder="1" applyAlignment="1">
      <alignment/>
    </xf>
    <xf numFmtId="3" fontId="0" fillId="0" borderId="168" xfId="0" applyNumberFormat="1" applyFill="1" applyBorder="1" applyAlignment="1">
      <alignment/>
    </xf>
    <xf numFmtId="3" fontId="2" fillId="41" borderId="169" xfId="0" applyNumberFormat="1" applyFon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33" fillId="0" borderId="71" xfId="0" applyNumberFormat="1" applyFont="1" applyFill="1" applyBorder="1" applyAlignment="1">
      <alignment/>
    </xf>
    <xf numFmtId="3" fontId="33" fillId="0" borderId="168" xfId="0" applyNumberFormat="1" applyFont="1" applyFill="1" applyBorder="1" applyAlignment="1">
      <alignment/>
    </xf>
    <xf numFmtId="3" fontId="8" fillId="0" borderId="73" xfId="0" applyNumberFormat="1" applyFont="1" applyFill="1" applyBorder="1" applyAlignment="1">
      <alignment/>
    </xf>
    <xf numFmtId="3" fontId="8" fillId="0" borderId="71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2" fillId="41" borderId="7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3" fontId="2" fillId="37" borderId="58" xfId="0" applyNumberFormat="1" applyFont="1" applyFill="1" applyBorder="1" applyAlignment="1">
      <alignment horizontal="center" vertical="center"/>
    </xf>
    <xf numFmtId="3" fontId="2" fillId="37" borderId="58" xfId="0" applyNumberFormat="1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 horizontal="center"/>
    </xf>
    <xf numFmtId="3" fontId="0" fillId="0" borderId="83" xfId="0" applyNumberFormat="1" applyFont="1" applyFill="1" applyBorder="1" applyAlignment="1">
      <alignment horizontal="center"/>
    </xf>
    <xf numFmtId="3" fontId="0" fillId="0" borderId="170" xfId="0" applyNumberFormat="1" applyFont="1" applyFill="1" applyBorder="1" applyAlignment="1">
      <alignment horizontal="center"/>
    </xf>
    <xf numFmtId="3" fontId="32" fillId="0" borderId="83" xfId="0" applyNumberFormat="1" applyFont="1" applyFill="1" applyBorder="1" applyAlignment="1">
      <alignment horizontal="center"/>
    </xf>
    <xf numFmtId="3" fontId="3" fillId="0" borderId="83" xfId="0" applyNumberFormat="1" applyFont="1" applyFill="1" applyBorder="1" applyAlignment="1">
      <alignment horizontal="center"/>
    </xf>
    <xf numFmtId="3" fontId="33" fillId="0" borderId="83" xfId="0" applyNumberFormat="1" applyFont="1" applyFill="1" applyBorder="1" applyAlignment="1">
      <alignment horizontal="center"/>
    </xf>
    <xf numFmtId="166" fontId="11" fillId="0" borderId="0" xfId="59" applyFont="1" applyFill="1" applyBorder="1" applyAlignment="1" applyProtection="1">
      <alignment horizontal="center" vertical="center" wrapText="1"/>
      <protection/>
    </xf>
    <xf numFmtId="3" fontId="0" fillId="0" borderId="171" xfId="0" applyNumberFormat="1" applyFont="1" applyBorder="1" applyAlignment="1">
      <alignment horizontal="left" vertical="center"/>
    </xf>
    <xf numFmtId="3" fontId="0" fillId="0" borderId="172" xfId="0" applyNumberFormat="1" applyFont="1" applyBorder="1" applyAlignment="1">
      <alignment horizontal="left" vertical="center"/>
    </xf>
    <xf numFmtId="3" fontId="19" fillId="0" borderId="91" xfId="0" applyNumberFormat="1" applyFont="1" applyFill="1" applyBorder="1" applyAlignment="1">
      <alignment horizontal="center" vertical="center"/>
    </xf>
    <xf numFmtId="3" fontId="11" fillId="4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3" fontId="0" fillId="40" borderId="0" xfId="0" applyNumberFormat="1" applyFill="1" applyBorder="1" applyAlignment="1">
      <alignment horizontal="right"/>
    </xf>
    <xf numFmtId="3" fontId="3" fillId="40" borderId="0" xfId="0" applyNumberFormat="1" applyFont="1" applyFill="1" applyAlignment="1">
      <alignment/>
    </xf>
    <xf numFmtId="3" fontId="0" fillId="40" borderId="0" xfId="0" applyNumberFormat="1" applyFont="1" applyFill="1" applyAlignment="1">
      <alignment/>
    </xf>
    <xf numFmtId="3" fontId="1" fillId="40" borderId="0" xfId="0" applyNumberFormat="1" applyFont="1" applyFill="1" applyBorder="1" applyAlignment="1">
      <alignment horizontal="center"/>
    </xf>
    <xf numFmtId="3" fontId="0" fillId="40" borderId="0" xfId="0" applyNumberFormat="1" applyFont="1" applyFill="1" applyAlignment="1">
      <alignment horizontal="center"/>
    </xf>
    <xf numFmtId="3" fontId="0" fillId="40" borderId="0" xfId="0" applyNumberFormat="1" applyFont="1" applyFill="1" applyBorder="1" applyAlignment="1">
      <alignment horizontal="center" wrapText="1"/>
    </xf>
    <xf numFmtId="3" fontId="0" fillId="40" borderId="0" xfId="0" applyNumberFormat="1" applyFont="1" applyFill="1" applyBorder="1" applyAlignment="1">
      <alignment vertical="center" wrapText="1"/>
    </xf>
    <xf numFmtId="3" fontId="0" fillId="40" borderId="0" xfId="0" applyNumberFormat="1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/>
    </xf>
    <xf numFmtId="3" fontId="0" fillId="49" borderId="0" xfId="0" applyNumberFormat="1" applyFont="1" applyFill="1" applyAlignment="1">
      <alignment/>
    </xf>
    <xf numFmtId="3" fontId="2" fillId="42" borderId="14" xfId="0" applyNumberFormat="1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 horizontal="center" wrapText="1"/>
    </xf>
    <xf numFmtId="3" fontId="0" fillId="40" borderId="12" xfId="0" applyNumberFormat="1" applyFont="1" applyFill="1" applyBorder="1" applyAlignment="1">
      <alignment horizontal="center"/>
    </xf>
    <xf numFmtId="3" fontId="0" fillId="40" borderId="12" xfId="0" applyNumberFormat="1" applyFont="1" applyFill="1" applyBorder="1" applyAlignment="1">
      <alignment wrapText="1"/>
    </xf>
    <xf numFmtId="3" fontId="0" fillId="40" borderId="12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/>
    </xf>
    <xf numFmtId="3" fontId="0" fillId="49" borderId="12" xfId="0" applyNumberFormat="1" applyFont="1" applyFill="1" applyBorder="1" applyAlignment="1">
      <alignment horizontal="center"/>
    </xf>
    <xf numFmtId="3" fontId="0" fillId="49" borderId="0" xfId="0" applyNumberFormat="1" applyFont="1" applyFill="1" applyBorder="1" applyAlignment="1">
      <alignment/>
    </xf>
    <xf numFmtId="3" fontId="0" fillId="40" borderId="12" xfId="0" applyNumberFormat="1" applyFont="1" applyFill="1" applyBorder="1" applyAlignment="1">
      <alignment/>
    </xf>
    <xf numFmtId="3" fontId="0" fillId="42" borderId="12" xfId="0" applyNumberFormat="1" applyFont="1" applyFill="1" applyBorder="1" applyAlignment="1">
      <alignment horizontal="center"/>
    </xf>
    <xf numFmtId="3" fontId="2" fillId="42" borderId="12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vertical="center" wrapText="1"/>
    </xf>
    <xf numFmtId="0" fontId="0" fillId="40" borderId="0" xfId="0" applyFill="1" applyAlignment="1">
      <alignment/>
    </xf>
    <xf numFmtId="0" fontId="2" fillId="43" borderId="12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/>
    </xf>
    <xf numFmtId="0" fontId="2" fillId="43" borderId="26" xfId="0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0" fontId="2" fillId="40" borderId="12" xfId="0" applyFont="1" applyFill="1" applyBorder="1" applyAlignment="1">
      <alignment/>
    </xf>
    <xf numFmtId="165" fontId="2" fillId="40" borderId="12" xfId="46" applyNumberFormat="1" applyFont="1" applyFill="1" applyBorder="1" applyAlignment="1" applyProtection="1">
      <alignment/>
      <protection/>
    </xf>
    <xf numFmtId="165" fontId="2" fillId="40" borderId="26" xfId="46" applyNumberFormat="1" applyFont="1" applyFill="1" applyBorder="1" applyAlignment="1" applyProtection="1">
      <alignment/>
      <protection/>
    </xf>
    <xf numFmtId="0" fontId="0" fillId="40" borderId="22" xfId="0" applyFont="1" applyFill="1" applyBorder="1" applyAlignment="1">
      <alignment horizontal="center"/>
    </xf>
    <xf numFmtId="0" fontId="0" fillId="40" borderId="12" xfId="0" applyFill="1" applyBorder="1" applyAlignment="1">
      <alignment/>
    </xf>
    <xf numFmtId="0" fontId="3" fillId="40" borderId="12" xfId="0" applyFont="1" applyFill="1" applyBorder="1" applyAlignment="1">
      <alignment/>
    </xf>
    <xf numFmtId="165" fontId="0" fillId="40" borderId="12" xfId="46" applyNumberFormat="1" applyFill="1" applyBorder="1" applyAlignment="1" applyProtection="1">
      <alignment/>
      <protection/>
    </xf>
    <xf numFmtId="165" fontId="0" fillId="40" borderId="26" xfId="46" applyNumberFormat="1" applyFill="1" applyBorder="1" applyAlignment="1" applyProtection="1">
      <alignment/>
      <protection/>
    </xf>
    <xf numFmtId="0" fontId="8" fillId="40" borderId="12" xfId="0" applyFont="1" applyFill="1" applyBorder="1" applyAlignment="1">
      <alignment/>
    </xf>
    <xf numFmtId="165" fontId="0" fillId="49" borderId="12" xfId="46" applyNumberFormat="1" applyFill="1" applyBorder="1" applyAlignment="1" applyProtection="1">
      <alignment/>
      <protection/>
    </xf>
    <xf numFmtId="165" fontId="0" fillId="49" borderId="26" xfId="46" applyNumberFormat="1" applyFill="1" applyBorder="1" applyAlignment="1" applyProtection="1">
      <alignment/>
      <protection/>
    </xf>
    <xf numFmtId="0" fontId="4" fillId="40" borderId="12" xfId="0" applyFont="1" applyFill="1" applyBorder="1" applyAlignment="1">
      <alignment/>
    </xf>
    <xf numFmtId="0" fontId="3" fillId="40" borderId="12" xfId="0" applyFont="1" applyFill="1" applyBorder="1" applyAlignment="1">
      <alignment wrapText="1"/>
    </xf>
    <xf numFmtId="0" fontId="0" fillId="40" borderId="12" xfId="0" applyFont="1" applyFill="1" applyBorder="1" applyAlignment="1">
      <alignment/>
    </xf>
    <xf numFmtId="0" fontId="2" fillId="42" borderId="50" xfId="0" applyFont="1" applyFill="1" applyBorder="1" applyAlignment="1">
      <alignment horizontal="center"/>
    </xf>
    <xf numFmtId="0" fontId="0" fillId="42" borderId="42" xfId="0" applyFill="1" applyBorder="1" applyAlignment="1">
      <alignment/>
    </xf>
    <xf numFmtId="0" fontId="2" fillId="42" borderId="42" xfId="0" applyFont="1" applyFill="1" applyBorder="1" applyAlignment="1">
      <alignment/>
    </xf>
    <xf numFmtId="165" fontId="2" fillId="42" borderId="42" xfId="46" applyNumberFormat="1" applyFont="1" applyFill="1" applyBorder="1" applyAlignment="1" applyProtection="1">
      <alignment/>
      <protection/>
    </xf>
    <xf numFmtId="165" fontId="2" fillId="42" borderId="48" xfId="46" applyNumberFormat="1" applyFont="1" applyFill="1" applyBorder="1" applyAlignment="1" applyProtection="1">
      <alignment/>
      <protection/>
    </xf>
    <xf numFmtId="0" fontId="2" fillId="50" borderId="13" xfId="0" applyFont="1" applyFill="1" applyBorder="1" applyAlignment="1">
      <alignment/>
    </xf>
    <xf numFmtId="0" fontId="2" fillId="50" borderId="13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165" fontId="0" fillId="40" borderId="10" xfId="46" applyNumberFormat="1" applyFill="1" applyBorder="1" applyAlignment="1" applyProtection="1">
      <alignment/>
      <protection/>
    </xf>
    <xf numFmtId="0" fontId="2" fillId="42" borderId="13" xfId="0" applyFont="1" applyFill="1" applyBorder="1" applyAlignment="1">
      <alignment/>
    </xf>
    <xf numFmtId="165" fontId="2" fillId="42" borderId="13" xfId="46" applyNumberFormat="1" applyFont="1" applyFill="1" applyBorder="1" applyAlignment="1" applyProtection="1">
      <alignment/>
      <protection/>
    </xf>
    <xf numFmtId="165" fontId="2" fillId="33" borderId="173" xfId="46" applyNumberFormat="1" applyFont="1" applyFill="1" applyBorder="1" applyAlignment="1" applyProtection="1">
      <alignment horizontal="center" vertical="center" wrapText="1"/>
      <protection/>
    </xf>
    <xf numFmtId="165" fontId="2" fillId="36" borderId="86" xfId="46" applyNumberFormat="1" applyFont="1" applyFill="1" applyBorder="1" applyAlignment="1" applyProtection="1">
      <alignment/>
      <protection/>
    </xf>
    <xf numFmtId="165" fontId="2" fillId="33" borderId="11" xfId="46" applyNumberFormat="1" applyFont="1" applyFill="1" applyBorder="1" applyAlignment="1" applyProtection="1">
      <alignment horizontal="center"/>
      <protection/>
    </xf>
    <xf numFmtId="165" fontId="2" fillId="36" borderId="174" xfId="46" applyNumberFormat="1" applyFont="1" applyFill="1" applyBorder="1" applyAlignment="1" applyProtection="1">
      <alignment/>
      <protection/>
    </xf>
    <xf numFmtId="3" fontId="8" fillId="0" borderId="22" xfId="0" applyNumberFormat="1" applyFont="1" applyFill="1" applyBorder="1" applyAlignment="1">
      <alignment horizontal="left"/>
    </xf>
    <xf numFmtId="3" fontId="0" fillId="0" borderId="68" xfId="0" applyNumberFormat="1" applyFont="1" applyBorder="1" applyAlignment="1">
      <alignment horizontal="center"/>
    </xf>
    <xf numFmtId="3" fontId="0" fillId="0" borderId="68" xfId="0" applyNumberFormat="1" applyBorder="1" applyAlignment="1">
      <alignment/>
    </xf>
    <xf numFmtId="165" fontId="0" fillId="0" borderId="33" xfId="46" applyNumberFormat="1" applyFont="1" applyFill="1" applyBorder="1" applyAlignment="1" applyProtection="1">
      <alignment/>
      <protection/>
    </xf>
    <xf numFmtId="165" fontId="85" fillId="33" borderId="58" xfId="46" applyNumberFormat="1" applyFont="1" applyFill="1" applyBorder="1" applyAlignment="1" applyProtection="1">
      <alignment/>
      <protection/>
    </xf>
    <xf numFmtId="3" fontId="86" fillId="0" borderId="0" xfId="0" applyNumberFormat="1" applyFont="1" applyFill="1" applyAlignment="1">
      <alignment/>
    </xf>
    <xf numFmtId="3" fontId="85" fillId="0" borderId="0" xfId="0" applyNumberFormat="1" applyFont="1" applyFill="1" applyAlignment="1">
      <alignment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8" fillId="33" borderId="58" xfId="0" applyFont="1" applyFill="1" applyBorder="1" applyAlignment="1">
      <alignment horizontal="left" vertical="center" wrapText="1"/>
    </xf>
    <xf numFmtId="0" fontId="89" fillId="33" borderId="58" xfId="0" applyFont="1" applyFill="1" applyBorder="1" applyAlignment="1">
      <alignment/>
    </xf>
    <xf numFmtId="0" fontId="85" fillId="33" borderId="58" xfId="0" applyFont="1" applyFill="1" applyBorder="1" applyAlignment="1">
      <alignment/>
    </xf>
    <xf numFmtId="0" fontId="90" fillId="45" borderId="58" xfId="0" applyFont="1" applyFill="1" applyBorder="1" applyAlignment="1">
      <alignment horizontal="left" vertical="center" wrapText="1"/>
    </xf>
    <xf numFmtId="3" fontId="85" fillId="0" borderId="58" xfId="0" applyNumberFormat="1" applyFont="1" applyBorder="1" applyAlignment="1">
      <alignment/>
    </xf>
    <xf numFmtId="165" fontId="85" fillId="0" borderId="58" xfId="46" applyNumberFormat="1" applyFont="1" applyFill="1" applyBorder="1" applyAlignment="1" applyProtection="1">
      <alignment/>
      <protection/>
    </xf>
    <xf numFmtId="3" fontId="85" fillId="0" borderId="58" xfId="0" applyNumberFormat="1" applyFont="1" applyFill="1" applyBorder="1" applyAlignment="1">
      <alignment/>
    </xf>
    <xf numFmtId="3" fontId="90" fillId="0" borderId="58" xfId="0" applyNumberFormat="1" applyFont="1" applyBorder="1" applyAlignment="1">
      <alignment/>
    </xf>
    <xf numFmtId="0" fontId="88" fillId="45" borderId="58" xfId="0" applyFont="1" applyFill="1" applyBorder="1" applyAlignment="1">
      <alignment horizontal="left" vertical="center" wrapText="1"/>
    </xf>
    <xf numFmtId="3" fontId="87" fillId="45" borderId="58" xfId="0" applyNumberFormat="1" applyFont="1" applyFill="1" applyBorder="1" applyAlignment="1">
      <alignment/>
    </xf>
    <xf numFmtId="0" fontId="87" fillId="33" borderId="58" xfId="0" applyFont="1" applyFill="1" applyBorder="1" applyAlignment="1">
      <alignment/>
    </xf>
    <xf numFmtId="3" fontId="87" fillId="0" borderId="58" xfId="0" applyNumberFormat="1" applyFont="1" applyBorder="1" applyAlignment="1">
      <alignment/>
    </xf>
    <xf numFmtId="3" fontId="87" fillId="33" borderId="58" xfId="0" applyNumberFormat="1" applyFont="1" applyFill="1" applyBorder="1" applyAlignment="1">
      <alignment/>
    </xf>
    <xf numFmtId="3" fontId="90" fillId="0" borderId="0" xfId="0" applyNumberFormat="1" applyFont="1" applyFill="1" applyAlignment="1">
      <alignment/>
    </xf>
    <xf numFmtId="0" fontId="0" fillId="0" borderId="58" xfId="0" applyFont="1" applyFill="1" applyBorder="1" applyAlignment="1">
      <alignment/>
    </xf>
    <xf numFmtId="3" fontId="8" fillId="0" borderId="175" xfId="0" applyNumberFormat="1" applyFont="1" applyFill="1" applyBorder="1" applyAlignment="1">
      <alignment/>
    </xf>
    <xf numFmtId="3" fontId="8" fillId="0" borderId="127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 horizontal="left"/>
    </xf>
    <xf numFmtId="3" fontId="8" fillId="0" borderId="34" xfId="0" applyNumberFormat="1" applyFont="1" applyFill="1" applyBorder="1" applyAlignment="1">
      <alignment horizontal="left"/>
    </xf>
    <xf numFmtId="3" fontId="26" fillId="33" borderId="14" xfId="0" applyNumberFormat="1" applyFont="1" applyFill="1" applyBorder="1" applyAlignment="1">
      <alignment horizontal="center" vertical="center" wrapText="1"/>
    </xf>
    <xf numFmtId="3" fontId="26" fillId="33" borderId="58" xfId="0" applyNumberFormat="1" applyFont="1" applyFill="1" applyBorder="1" applyAlignment="1">
      <alignment vertical="center" wrapText="1"/>
    </xf>
    <xf numFmtId="3" fontId="27" fillId="33" borderId="58" xfId="0" applyNumberFormat="1" applyFont="1" applyFill="1" applyBorder="1" applyAlignment="1">
      <alignment horizontal="center" vertical="center" wrapText="1"/>
    </xf>
    <xf numFmtId="3" fontId="2" fillId="42" borderId="12" xfId="0" applyNumberFormat="1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/>
    </xf>
    <xf numFmtId="165" fontId="0" fillId="36" borderId="12" xfId="46" applyNumberFormat="1" applyFill="1" applyBorder="1" applyAlignment="1" applyProtection="1">
      <alignment vertical="center"/>
      <protection/>
    </xf>
    <xf numFmtId="165" fontId="0" fillId="49" borderId="33" xfId="46" applyNumberFormat="1" applyFill="1" applyBorder="1" applyAlignment="1" applyProtection="1">
      <alignment/>
      <protection/>
    </xf>
    <xf numFmtId="165" fontId="0" fillId="40" borderId="33" xfId="46" applyNumberFormat="1" applyFill="1" applyBorder="1" applyAlignment="1" applyProtection="1">
      <alignment/>
      <protection/>
    </xf>
    <xf numFmtId="0" fontId="2" fillId="0" borderId="95" xfId="0" applyFont="1" applyBorder="1" applyAlignment="1">
      <alignment horizontal="center" vertical="center" wrapText="1"/>
    </xf>
    <xf numFmtId="165" fontId="2" fillId="0" borderId="83" xfId="46" applyNumberFormat="1" applyFont="1" applyFill="1" applyBorder="1" applyAlignment="1" applyProtection="1">
      <alignment/>
      <protection/>
    </xf>
    <xf numFmtId="165" fontId="0" fillId="36" borderId="83" xfId="46" applyNumberFormat="1" applyFont="1" applyFill="1" applyBorder="1" applyAlignment="1" applyProtection="1">
      <alignment/>
      <protection/>
    </xf>
    <xf numFmtId="165" fontId="0" fillId="0" borderId="84" xfId="46" applyNumberFormat="1" applyFont="1" applyFill="1" applyBorder="1" applyAlignment="1" applyProtection="1">
      <alignment/>
      <protection/>
    </xf>
    <xf numFmtId="165" fontId="0" fillId="0" borderId="95" xfId="46" applyNumberFormat="1" applyFont="1" applyFill="1" applyBorder="1" applyAlignment="1" applyProtection="1">
      <alignment/>
      <protection/>
    </xf>
    <xf numFmtId="165" fontId="2" fillId="0" borderId="52" xfId="46" applyNumberFormat="1" applyFont="1" applyFill="1" applyBorder="1" applyAlignment="1" applyProtection="1">
      <alignment/>
      <protection/>
    </xf>
    <xf numFmtId="165" fontId="0" fillId="36" borderId="94" xfId="46" applyNumberFormat="1" applyFont="1" applyFill="1" applyBorder="1" applyAlignment="1" applyProtection="1">
      <alignment/>
      <protection/>
    </xf>
    <xf numFmtId="165" fontId="0" fillId="0" borderId="96" xfId="46" applyNumberFormat="1" applyFont="1" applyFill="1" applyBorder="1" applyAlignment="1" applyProtection="1">
      <alignment/>
      <protection/>
    </xf>
    <xf numFmtId="165" fontId="2" fillId="0" borderId="97" xfId="46" applyNumberFormat="1" applyFont="1" applyFill="1" applyBorder="1" applyAlignment="1" applyProtection="1">
      <alignment/>
      <protection/>
    </xf>
    <xf numFmtId="165" fontId="2" fillId="0" borderId="98" xfId="46" applyNumberFormat="1" applyFont="1" applyFill="1" applyBorder="1" applyAlignment="1" applyProtection="1">
      <alignment/>
      <protection/>
    </xf>
    <xf numFmtId="165" fontId="8" fillId="0" borderId="94" xfId="46" applyNumberFormat="1" applyFont="1" applyFill="1" applyBorder="1" applyAlignment="1" applyProtection="1">
      <alignment/>
      <protection/>
    </xf>
    <xf numFmtId="165" fontId="8" fillId="0" borderId="96" xfId="46" applyNumberFormat="1" applyFont="1" applyFill="1" applyBorder="1" applyAlignment="1" applyProtection="1">
      <alignment/>
      <protection/>
    </xf>
    <xf numFmtId="165" fontId="8" fillId="0" borderId="170" xfId="46" applyNumberFormat="1" applyFont="1" applyFill="1" applyBorder="1" applyAlignment="1" applyProtection="1">
      <alignment/>
      <protection/>
    </xf>
    <xf numFmtId="165" fontId="8" fillId="0" borderId="95" xfId="46" applyNumberFormat="1" applyFont="1" applyFill="1" applyBorder="1" applyAlignment="1" applyProtection="1">
      <alignment/>
      <protection/>
    </xf>
    <xf numFmtId="165" fontId="8" fillId="0" borderId="84" xfId="46" applyNumberFormat="1" applyFont="1" applyFill="1" applyBorder="1" applyAlignment="1" applyProtection="1">
      <alignment/>
      <protection/>
    </xf>
    <xf numFmtId="165" fontId="0" fillId="0" borderId="94" xfId="46" applyNumberFormat="1" applyFont="1" applyFill="1" applyBorder="1" applyAlignment="1" applyProtection="1">
      <alignment/>
      <protection/>
    </xf>
    <xf numFmtId="165" fontId="2" fillId="0" borderId="96" xfId="46" applyNumberFormat="1" applyFont="1" applyFill="1" applyBorder="1" applyAlignment="1" applyProtection="1">
      <alignment/>
      <protection/>
    </xf>
    <xf numFmtId="165" fontId="2" fillId="0" borderId="176" xfId="46" applyNumberFormat="1" applyFont="1" applyFill="1" applyBorder="1" applyAlignment="1" applyProtection="1">
      <alignment/>
      <protection/>
    </xf>
    <xf numFmtId="165" fontId="2" fillId="0" borderId="177" xfId="46" applyNumberFormat="1" applyFont="1" applyFill="1" applyBorder="1" applyAlignment="1" applyProtection="1">
      <alignment/>
      <protection/>
    </xf>
    <xf numFmtId="165" fontId="2" fillId="0" borderId="178" xfId="46" applyNumberFormat="1" applyFont="1" applyFill="1" applyBorder="1" applyAlignment="1" applyProtection="1">
      <alignment/>
      <protection/>
    </xf>
    <xf numFmtId="0" fontId="2" fillId="0" borderId="179" xfId="0" applyFont="1" applyBorder="1" applyAlignment="1">
      <alignment/>
    </xf>
    <xf numFmtId="0" fontId="0" fillId="0" borderId="179" xfId="0" applyFont="1" applyBorder="1" applyAlignment="1">
      <alignment/>
    </xf>
    <xf numFmtId="0" fontId="0" fillId="0" borderId="158" xfId="0" applyFont="1" applyBorder="1" applyAlignment="1">
      <alignment/>
    </xf>
    <xf numFmtId="0" fontId="0" fillId="0" borderId="180" xfId="0" applyFont="1" applyBorder="1" applyAlignment="1">
      <alignment/>
    </xf>
    <xf numFmtId="0" fontId="2" fillId="0" borderId="181" xfId="0" applyFont="1" applyBorder="1" applyAlignment="1">
      <alignment/>
    </xf>
    <xf numFmtId="0" fontId="8" fillId="0" borderId="180" xfId="0" applyFont="1" applyBorder="1" applyAlignment="1">
      <alignment/>
    </xf>
    <xf numFmtId="0" fontId="8" fillId="0" borderId="158" xfId="0" applyFont="1" applyBorder="1" applyAlignment="1">
      <alignment/>
    </xf>
    <xf numFmtId="0" fontId="0" fillId="0" borderId="156" xfId="0" applyFont="1" applyBorder="1" applyAlignment="1">
      <alignment/>
    </xf>
    <xf numFmtId="0" fontId="0" fillId="0" borderId="156" xfId="0" applyFont="1" applyBorder="1" applyAlignment="1">
      <alignment horizontal="left"/>
    </xf>
    <xf numFmtId="0" fontId="0" fillId="0" borderId="157" xfId="0" applyFont="1" applyBorder="1" applyAlignment="1">
      <alignment horizontal="left"/>
    </xf>
    <xf numFmtId="3" fontId="0" fillId="0" borderId="179" xfId="0" applyNumberFormat="1" applyFont="1" applyBorder="1" applyAlignment="1">
      <alignment/>
    </xf>
    <xf numFmtId="3" fontId="0" fillId="0" borderId="158" xfId="0" applyNumberFormat="1" applyFont="1" applyBorder="1" applyAlignment="1">
      <alignment wrapText="1"/>
    </xf>
    <xf numFmtId="0" fontId="2" fillId="0" borderId="182" xfId="0" applyFont="1" applyBorder="1" applyAlignment="1">
      <alignment/>
    </xf>
    <xf numFmtId="165" fontId="8" fillId="40" borderId="12" xfId="46" applyNumberFormat="1" applyFont="1" applyFill="1" applyBorder="1" applyAlignment="1" applyProtection="1">
      <alignment/>
      <protection/>
    </xf>
    <xf numFmtId="165" fontId="8" fillId="49" borderId="12" xfId="46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 wrapText="1"/>
    </xf>
    <xf numFmtId="0" fontId="0" fillId="40" borderId="58" xfId="0" applyFont="1" applyFill="1" applyBorder="1" applyAlignment="1">
      <alignment horizontal="left" vertical="top" wrapText="1"/>
    </xf>
    <xf numFmtId="0" fontId="2" fillId="40" borderId="58" xfId="0" applyFont="1" applyFill="1" applyBorder="1" applyAlignment="1">
      <alignment horizontal="left" vertical="top" wrapText="1"/>
    </xf>
    <xf numFmtId="0" fontId="8" fillId="0" borderId="58" xfId="0" applyFont="1" applyBorder="1" applyAlignment="1">
      <alignment/>
    </xf>
    <xf numFmtId="0" fontId="8" fillId="40" borderId="58" xfId="0" applyFont="1" applyFill="1" applyBorder="1" applyAlignment="1">
      <alignment horizontal="left" vertical="top" wrapText="1"/>
    </xf>
    <xf numFmtId="165" fontId="0" fillId="0" borderId="58" xfId="46" applyNumberFormat="1" applyBorder="1" applyAlignment="1">
      <alignment/>
    </xf>
    <xf numFmtId="165" fontId="2" fillId="0" borderId="58" xfId="46" applyNumberFormat="1" applyFont="1" applyBorder="1" applyAlignment="1">
      <alignment/>
    </xf>
    <xf numFmtId="0" fontId="2" fillId="0" borderId="67" xfId="0" applyFont="1" applyBorder="1" applyAlignment="1">
      <alignment horizontal="center" vertical="center" wrapText="1"/>
    </xf>
    <xf numFmtId="0" fontId="8" fillId="40" borderId="68" xfId="0" applyFont="1" applyFill="1" applyBorder="1" applyAlignment="1">
      <alignment horizontal="left" vertical="top" wrapText="1"/>
    </xf>
    <xf numFmtId="165" fontId="0" fillId="0" borderId="68" xfId="46" applyNumberFormat="1" applyBorder="1" applyAlignment="1">
      <alignment/>
    </xf>
    <xf numFmtId="165" fontId="2" fillId="0" borderId="68" xfId="46" applyNumberFormat="1" applyFont="1" applyBorder="1" applyAlignment="1">
      <alignment/>
    </xf>
    <xf numFmtId="0" fontId="2" fillId="0" borderId="69" xfId="0" applyFont="1" applyBorder="1" applyAlignment="1">
      <alignment wrapText="1"/>
    </xf>
    <xf numFmtId="0" fontId="8" fillId="40" borderId="183" xfId="0" applyFont="1" applyFill="1" applyBorder="1" applyAlignment="1">
      <alignment horizontal="left" vertical="top" wrapText="1"/>
    </xf>
    <xf numFmtId="0" fontId="0" fillId="0" borderId="68" xfId="0" applyBorder="1" applyAlignment="1">
      <alignment/>
    </xf>
    <xf numFmtId="0" fontId="2" fillId="40" borderId="69" xfId="0" applyFont="1" applyFill="1" applyBorder="1" applyAlignment="1">
      <alignment horizontal="left" vertical="top" wrapText="1"/>
    </xf>
    <xf numFmtId="0" fontId="0" fillId="0" borderId="67" xfId="0" applyBorder="1" applyAlignment="1">
      <alignment/>
    </xf>
    <xf numFmtId="0" fontId="0" fillId="40" borderId="67" xfId="0" applyFont="1" applyFill="1" applyBorder="1" applyAlignment="1">
      <alignment horizontal="left" vertical="top" wrapText="1"/>
    </xf>
    <xf numFmtId="165" fontId="0" fillId="0" borderId="67" xfId="46" applyNumberFormat="1" applyBorder="1" applyAlignment="1">
      <alignment/>
    </xf>
    <xf numFmtId="0" fontId="5" fillId="40" borderId="58" xfId="0" applyFont="1" applyFill="1" applyBorder="1" applyAlignment="1">
      <alignment horizontal="left" vertical="top" wrapText="1"/>
    </xf>
    <xf numFmtId="0" fontId="0" fillId="0" borderId="123" xfId="0" applyBorder="1" applyAlignment="1">
      <alignment/>
    </xf>
    <xf numFmtId="0" fontId="5" fillId="40" borderId="69" xfId="0" applyFont="1" applyFill="1" applyBorder="1" applyAlignment="1">
      <alignment horizontal="left" vertical="top" wrapText="1"/>
    </xf>
    <xf numFmtId="165" fontId="8" fillId="0" borderId="58" xfId="46" applyNumberFormat="1" applyFont="1" applyBorder="1" applyAlignment="1">
      <alignment/>
    </xf>
    <xf numFmtId="0" fontId="8" fillId="0" borderId="67" xfId="0" applyFont="1" applyBorder="1" applyAlignment="1">
      <alignment/>
    </xf>
    <xf numFmtId="165" fontId="8" fillId="0" borderId="58" xfId="46" applyNumberFormat="1" applyFont="1" applyBorder="1" applyAlignment="1">
      <alignment horizontal="center" vertical="center"/>
    </xf>
    <xf numFmtId="165" fontId="8" fillId="0" borderId="67" xfId="46" applyNumberFormat="1" applyFont="1" applyBorder="1" applyAlignment="1">
      <alignment horizontal="center" vertical="center"/>
    </xf>
    <xf numFmtId="165" fontId="2" fillId="0" borderId="69" xfId="46" applyNumberFormat="1" applyFont="1" applyBorder="1" applyAlignment="1">
      <alignment horizontal="center" vertical="center"/>
    </xf>
    <xf numFmtId="165" fontId="2" fillId="0" borderId="100" xfId="46" applyNumberFormat="1" applyFont="1" applyBorder="1" applyAlignment="1">
      <alignment horizontal="center" vertical="center"/>
    </xf>
    <xf numFmtId="165" fontId="0" fillId="0" borderId="183" xfId="46" applyNumberFormat="1" applyBorder="1" applyAlignment="1">
      <alignment horizontal="center" vertical="center"/>
    </xf>
    <xf numFmtId="165" fontId="8" fillId="40" borderId="68" xfId="46" applyNumberFormat="1" applyFont="1" applyFill="1" applyBorder="1" applyAlignment="1">
      <alignment horizontal="center" vertical="center" wrapText="1"/>
    </xf>
    <xf numFmtId="165" fontId="8" fillId="0" borderId="68" xfId="46" applyNumberFormat="1" applyFont="1" applyBorder="1" applyAlignment="1">
      <alignment horizontal="center" vertical="center"/>
    </xf>
    <xf numFmtId="165" fontId="8" fillId="40" borderId="58" xfId="46" applyNumberFormat="1" applyFont="1" applyFill="1" applyBorder="1" applyAlignment="1">
      <alignment horizontal="center" vertical="center" wrapText="1"/>
    </xf>
    <xf numFmtId="165" fontId="8" fillId="40" borderId="67" xfId="46" applyNumberFormat="1" applyFont="1" applyFill="1" applyBorder="1" applyAlignment="1">
      <alignment horizontal="center" vertical="center" wrapText="1"/>
    </xf>
    <xf numFmtId="165" fontId="5" fillId="0" borderId="69" xfId="46" applyNumberFormat="1" applyFont="1" applyBorder="1" applyAlignment="1">
      <alignment horizontal="center" vertical="center"/>
    </xf>
    <xf numFmtId="165" fontId="5" fillId="0" borderId="100" xfId="46" applyNumberFormat="1" applyFont="1" applyBorder="1" applyAlignment="1">
      <alignment horizontal="center" vertical="center"/>
    </xf>
    <xf numFmtId="165" fontId="0" fillId="0" borderId="68" xfId="46" applyNumberFormat="1" applyBorder="1" applyAlignment="1">
      <alignment horizontal="center" vertical="center"/>
    </xf>
    <xf numFmtId="165" fontId="0" fillId="0" borderId="58" xfId="46" applyNumberFormat="1" applyBorder="1" applyAlignment="1">
      <alignment horizontal="center" vertical="center"/>
    </xf>
    <xf numFmtId="165" fontId="0" fillId="0" borderId="67" xfId="46" applyNumberFormat="1" applyBorder="1" applyAlignment="1">
      <alignment horizontal="center" vertical="center"/>
    </xf>
    <xf numFmtId="165" fontId="0" fillId="0" borderId="69" xfId="46" applyNumberFormat="1" applyBorder="1" applyAlignment="1">
      <alignment horizontal="center" vertical="center"/>
    </xf>
    <xf numFmtId="165" fontId="5" fillId="51" borderId="69" xfId="46" applyNumberFormat="1" applyFont="1" applyFill="1" applyBorder="1" applyAlignment="1">
      <alignment horizontal="center" vertical="center"/>
    </xf>
    <xf numFmtId="165" fontId="5" fillId="51" borderId="100" xfId="46" applyNumberFormat="1" applyFont="1" applyFill="1" applyBorder="1" applyAlignment="1">
      <alignment horizontal="center" vertical="center"/>
    </xf>
    <xf numFmtId="0" fontId="2" fillId="0" borderId="123" xfId="0" applyFont="1" applyBorder="1" applyAlignment="1">
      <alignment horizontal="right"/>
    </xf>
    <xf numFmtId="0" fontId="8" fillId="0" borderId="183" xfId="0" applyFont="1" applyBorder="1" applyAlignment="1">
      <alignment horizontal="right"/>
    </xf>
    <xf numFmtId="0" fontId="8" fillId="0" borderId="68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67" xfId="0" applyFont="1" applyBorder="1" applyAlignment="1">
      <alignment horizontal="right"/>
    </xf>
    <xf numFmtId="0" fontId="2" fillId="0" borderId="165" xfId="0" applyFont="1" applyBorder="1" applyAlignment="1">
      <alignment horizontal="right"/>
    </xf>
    <xf numFmtId="0" fontId="2" fillId="0" borderId="102" xfId="0" applyFont="1" applyBorder="1" applyAlignment="1">
      <alignment wrapText="1"/>
    </xf>
    <xf numFmtId="165" fontId="2" fillId="0" borderId="102" xfId="46" applyNumberFormat="1" applyFont="1" applyBorder="1" applyAlignment="1">
      <alignment horizontal="center" vertical="center"/>
    </xf>
    <xf numFmtId="165" fontId="2" fillId="0" borderId="103" xfId="46" applyNumberFormat="1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 wrapText="1"/>
    </xf>
    <xf numFmtId="165" fontId="2" fillId="0" borderId="58" xfId="0" applyNumberFormat="1" applyFont="1" applyBorder="1" applyAlignment="1">
      <alignment/>
    </xf>
    <xf numFmtId="0" fontId="5" fillId="51" borderId="123" xfId="0" applyFont="1" applyFill="1" applyBorder="1" applyAlignment="1">
      <alignment/>
    </xf>
    <xf numFmtId="0" fontId="5" fillId="51" borderId="69" xfId="0" applyFont="1" applyFill="1" applyBorder="1" applyAlignment="1">
      <alignment/>
    </xf>
    <xf numFmtId="165" fontId="5" fillId="51" borderId="69" xfId="0" applyNumberFormat="1" applyFont="1" applyFill="1" applyBorder="1" applyAlignment="1">
      <alignment/>
    </xf>
    <xf numFmtId="165" fontId="5" fillId="51" borderId="100" xfId="0" applyNumberFormat="1" applyFont="1" applyFill="1" applyBorder="1" applyAlignment="1">
      <alignment/>
    </xf>
    <xf numFmtId="0" fontId="2" fillId="0" borderId="68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165" fontId="0" fillId="0" borderId="58" xfId="46" applyNumberFormat="1" applyBorder="1" applyAlignment="1">
      <alignment horizontal="right"/>
    </xf>
    <xf numFmtId="165" fontId="0" fillId="0" borderId="67" xfId="46" applyNumberFormat="1" applyBorder="1" applyAlignment="1">
      <alignment horizontal="right"/>
    </xf>
    <xf numFmtId="0" fontId="1" fillId="40" borderId="58" xfId="0" applyFont="1" applyFill="1" applyBorder="1" applyAlignment="1">
      <alignment horizontal="left" vertical="top" wrapText="1"/>
    </xf>
    <xf numFmtId="0" fontId="33" fillId="40" borderId="58" xfId="0" applyFont="1" applyFill="1" applyBorder="1" applyAlignment="1">
      <alignment horizontal="left" vertical="top" wrapText="1"/>
    </xf>
    <xf numFmtId="0" fontId="2" fillId="0" borderId="101" xfId="0" applyFont="1" applyBorder="1" applyAlignment="1">
      <alignment horizontal="center" vertical="center" wrapText="1"/>
    </xf>
    <xf numFmtId="165" fontId="0" fillId="0" borderId="58" xfId="46" applyNumberFormat="1" applyBorder="1" applyAlignment="1">
      <alignment horizontal="center" vertical="center" wrapText="1"/>
    </xf>
    <xf numFmtId="165" fontId="1" fillId="0" borderId="58" xfId="46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58" xfId="46" applyNumberFormat="1" applyFont="1" applyBorder="1" applyAlignment="1">
      <alignment horizontal="center" vertical="center" wrapText="1"/>
    </xf>
    <xf numFmtId="165" fontId="5" fillId="0" borderId="58" xfId="0" applyNumberFormat="1" applyFont="1" applyBorder="1" applyAlignment="1">
      <alignment horizontal="center" vertical="center" wrapText="1"/>
    </xf>
    <xf numFmtId="0" fontId="0" fillId="40" borderId="67" xfId="0" applyFont="1" applyFill="1" applyBorder="1" applyAlignment="1">
      <alignment horizontal="left" vertical="top" wrapText="1"/>
    </xf>
    <xf numFmtId="0" fontId="5" fillId="51" borderId="184" xfId="0" applyFont="1" applyFill="1" applyBorder="1" applyAlignment="1">
      <alignment/>
    </xf>
    <xf numFmtId="0" fontId="5" fillId="51" borderId="183" xfId="0" applyFont="1" applyFill="1" applyBorder="1" applyAlignment="1">
      <alignment/>
    </xf>
    <xf numFmtId="165" fontId="5" fillId="51" borderId="183" xfId="0" applyNumberFormat="1" applyFont="1" applyFill="1" applyBorder="1" applyAlignment="1">
      <alignment/>
    </xf>
    <xf numFmtId="165" fontId="5" fillId="51" borderId="18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0" borderId="67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/>
    </xf>
    <xf numFmtId="3" fontId="0" fillId="36" borderId="23" xfId="0" applyNumberFormat="1" applyFont="1" applyFill="1" applyBorder="1" applyAlignment="1">
      <alignment horizontal="center"/>
    </xf>
    <xf numFmtId="3" fontId="0" fillId="36" borderId="23" xfId="0" applyNumberFormat="1" applyFont="1" applyFill="1" applyBorder="1" applyAlignment="1">
      <alignment/>
    </xf>
    <xf numFmtId="167" fontId="0" fillId="36" borderId="23" xfId="0" applyNumberFormat="1" applyFont="1" applyFill="1" applyBorder="1" applyAlignment="1">
      <alignment/>
    </xf>
    <xf numFmtId="165" fontId="0" fillId="36" borderId="23" xfId="46" applyNumberFormat="1" applyFill="1" applyBorder="1" applyAlignment="1" applyProtection="1">
      <alignment/>
      <protection/>
    </xf>
    <xf numFmtId="165" fontId="0" fillId="36" borderId="95" xfId="46" applyNumberFormat="1" applyFill="1" applyBorder="1" applyAlignment="1" applyProtection="1">
      <alignment/>
      <protection/>
    </xf>
    <xf numFmtId="3" fontId="0" fillId="36" borderId="58" xfId="0" applyNumberFormat="1" applyFont="1" applyFill="1" applyBorder="1" applyAlignment="1">
      <alignment horizontal="center"/>
    </xf>
    <xf numFmtId="167" fontId="0" fillId="36" borderId="58" xfId="0" applyNumberFormat="1" applyFont="1" applyFill="1" applyBorder="1" applyAlignment="1">
      <alignment/>
    </xf>
    <xf numFmtId="3" fontId="8" fillId="36" borderId="58" xfId="0" applyNumberFormat="1" applyFont="1" applyFill="1" applyBorder="1" applyAlignment="1">
      <alignment horizontal="right"/>
    </xf>
    <xf numFmtId="0" fontId="8" fillId="36" borderId="58" xfId="0" applyFont="1" applyFill="1" applyBorder="1" applyAlignment="1">
      <alignment horizontal="right"/>
    </xf>
    <xf numFmtId="167" fontId="8" fillId="36" borderId="58" xfId="0" applyNumberFormat="1" applyFont="1" applyFill="1" applyBorder="1" applyAlignment="1">
      <alignment horizontal="right"/>
    </xf>
    <xf numFmtId="165" fontId="8" fillId="36" borderId="58" xfId="46" applyNumberFormat="1" applyFont="1" applyFill="1" applyBorder="1" applyAlignment="1" applyProtection="1">
      <alignment horizontal="right"/>
      <protection/>
    </xf>
    <xf numFmtId="0" fontId="8" fillId="36" borderId="0" xfId="0" applyFont="1" applyFill="1" applyAlignment="1">
      <alignment horizontal="right"/>
    </xf>
    <xf numFmtId="0" fontId="8" fillId="0" borderId="58" xfId="0" applyFont="1" applyFill="1" applyBorder="1" applyAlignment="1">
      <alignment horizontal="right"/>
    </xf>
    <xf numFmtId="165" fontId="8" fillId="0" borderId="58" xfId="46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3" fontId="5" fillId="37" borderId="155" xfId="0" applyNumberFormat="1" applyFont="1" applyFill="1" applyBorder="1" applyAlignment="1">
      <alignment horizontal="center" wrapText="1"/>
    </xf>
    <xf numFmtId="3" fontId="5" fillId="37" borderId="66" xfId="0" applyNumberFormat="1" applyFont="1" applyFill="1" applyBorder="1" applyAlignment="1">
      <alignment horizontal="center"/>
    </xf>
    <xf numFmtId="3" fontId="5" fillId="37" borderId="66" xfId="0" applyNumberFormat="1" applyFont="1" applyFill="1" applyBorder="1" applyAlignment="1">
      <alignment wrapText="1"/>
    </xf>
    <xf numFmtId="167" fontId="5" fillId="37" borderId="66" xfId="0" applyNumberFormat="1" applyFont="1" applyFill="1" applyBorder="1" applyAlignment="1">
      <alignment/>
    </xf>
    <xf numFmtId="165" fontId="5" fillId="37" borderId="186" xfId="46" applyNumberFormat="1" applyFont="1" applyFill="1" applyBorder="1" applyAlignment="1" applyProtection="1">
      <alignment/>
      <protection/>
    </xf>
    <xf numFmtId="165" fontId="5" fillId="37" borderId="62" xfId="46" applyNumberFormat="1" applyFont="1" applyFill="1" applyBorder="1" applyAlignment="1" applyProtection="1">
      <alignment/>
      <protection/>
    </xf>
    <xf numFmtId="165" fontId="0" fillId="36" borderId="58" xfId="46" applyNumberFormat="1" applyFill="1" applyBorder="1" applyAlignment="1">
      <alignment/>
    </xf>
    <xf numFmtId="165" fontId="0" fillId="36" borderId="58" xfId="46" applyNumberFormat="1" applyFont="1" applyFill="1" applyBorder="1" applyAlignment="1" applyProtection="1">
      <alignment horizontal="right"/>
      <protection/>
    </xf>
    <xf numFmtId="165" fontId="0" fillId="36" borderId="58" xfId="46" applyNumberFormat="1" applyFill="1" applyBorder="1" applyAlignment="1" applyProtection="1">
      <alignment horizontal="right"/>
      <protection/>
    </xf>
    <xf numFmtId="3" fontId="0" fillId="0" borderId="160" xfId="0" applyNumberFormat="1" applyFont="1" applyFill="1" applyBorder="1" applyAlignment="1">
      <alignment horizontal="center"/>
    </xf>
    <xf numFmtId="3" fontId="0" fillId="36" borderId="150" xfId="0" applyNumberFormat="1" applyFont="1" applyFill="1" applyBorder="1" applyAlignment="1">
      <alignment horizontal="center"/>
    </xf>
    <xf numFmtId="3" fontId="0" fillId="36" borderId="150" xfId="0" applyNumberFormat="1" applyFont="1" applyFill="1" applyBorder="1" applyAlignment="1">
      <alignment/>
    </xf>
    <xf numFmtId="167" fontId="0" fillId="36" borderId="150" xfId="0" applyNumberFormat="1" applyFont="1" applyFill="1" applyBorder="1" applyAlignment="1">
      <alignment/>
    </xf>
    <xf numFmtId="165" fontId="0" fillId="36" borderId="150" xfId="46" applyNumberFormat="1" applyFill="1" applyBorder="1" applyAlignment="1">
      <alignment/>
    </xf>
    <xf numFmtId="165" fontId="0" fillId="36" borderId="151" xfId="46" applyNumberFormat="1" applyFill="1" applyBorder="1" applyAlignment="1">
      <alignment/>
    </xf>
    <xf numFmtId="165" fontId="0" fillId="36" borderId="91" xfId="46" applyNumberFormat="1" applyFill="1" applyBorder="1" applyAlignment="1">
      <alignment/>
    </xf>
    <xf numFmtId="165" fontId="0" fillId="36" borderId="91" xfId="46" applyNumberFormat="1" applyFill="1" applyBorder="1" applyAlignment="1" applyProtection="1">
      <alignment horizontal="right"/>
      <protection/>
    </xf>
    <xf numFmtId="0" fontId="8" fillId="36" borderId="113" xfId="0" applyFont="1" applyFill="1" applyBorder="1" applyAlignment="1">
      <alignment horizontal="right"/>
    </xf>
    <xf numFmtId="165" fontId="8" fillId="36" borderId="91" xfId="46" applyNumberFormat="1" applyFont="1" applyFill="1" applyBorder="1" applyAlignment="1" applyProtection="1">
      <alignment horizontal="right"/>
      <protection/>
    </xf>
    <xf numFmtId="0" fontId="8" fillId="0" borderId="145" xfId="0" applyFont="1" applyBorder="1" applyAlignment="1">
      <alignment horizontal="right"/>
    </xf>
    <xf numFmtId="0" fontId="8" fillId="0" borderId="146" xfId="0" applyFont="1" applyBorder="1" applyAlignment="1">
      <alignment horizontal="right"/>
    </xf>
    <xf numFmtId="165" fontId="8" fillId="0" borderId="146" xfId="46" applyNumberFormat="1" applyFont="1" applyFill="1" applyBorder="1" applyAlignment="1" applyProtection="1">
      <alignment horizontal="right"/>
      <protection/>
    </xf>
    <xf numFmtId="165" fontId="8" fillId="0" borderId="147" xfId="46" applyNumberFormat="1" applyFont="1" applyFill="1" applyBorder="1" applyAlignment="1" applyProtection="1">
      <alignment horizontal="right"/>
      <protection/>
    </xf>
    <xf numFmtId="165" fontId="0" fillId="36" borderId="187" xfId="46" applyNumberFormat="1" applyFill="1" applyBorder="1" applyAlignment="1" applyProtection="1">
      <alignment horizontal="center" vertical="center"/>
      <protection/>
    </xf>
    <xf numFmtId="165" fontId="0" fillId="36" borderId="58" xfId="46" applyNumberFormat="1" applyFill="1" applyBorder="1" applyAlignment="1" applyProtection="1">
      <alignment horizontal="center" vertical="center"/>
      <protection/>
    </xf>
    <xf numFmtId="165" fontId="0" fillId="36" borderId="91" xfId="46" applyNumberFormat="1" applyFill="1" applyBorder="1" applyAlignment="1" applyProtection="1">
      <alignment horizontal="center" vertical="center"/>
      <protection/>
    </xf>
    <xf numFmtId="3" fontId="15" fillId="37" borderId="153" xfId="0" applyNumberFormat="1" applyFont="1" applyFill="1" applyBorder="1" applyAlignment="1">
      <alignment wrapText="1"/>
    </xf>
    <xf numFmtId="167" fontId="5" fillId="37" borderId="153" xfId="0" applyNumberFormat="1" applyFont="1" applyFill="1" applyBorder="1" applyAlignment="1">
      <alignment/>
    </xf>
    <xf numFmtId="165" fontId="5" fillId="37" borderId="153" xfId="46" applyNumberFormat="1" applyFont="1" applyFill="1" applyBorder="1" applyAlignment="1" applyProtection="1">
      <alignment/>
      <protection/>
    </xf>
    <xf numFmtId="165" fontId="5" fillId="37" borderId="154" xfId="46" applyNumberFormat="1" applyFont="1" applyFill="1" applyBorder="1" applyAlignment="1" applyProtection="1">
      <alignment/>
      <protection/>
    </xf>
    <xf numFmtId="3" fontId="0" fillId="36" borderId="81" xfId="0" applyNumberFormat="1" applyFont="1" applyFill="1" applyBorder="1" applyAlignment="1">
      <alignment/>
    </xf>
    <xf numFmtId="167" fontId="0" fillId="36" borderId="81" xfId="0" applyNumberFormat="1" applyFont="1" applyFill="1" applyBorder="1" applyAlignment="1">
      <alignment/>
    </xf>
    <xf numFmtId="165" fontId="0" fillId="36" borderId="188" xfId="46" applyNumberFormat="1" applyFill="1" applyBorder="1" applyAlignment="1" applyProtection="1">
      <alignment horizontal="center" vertical="center"/>
      <protection/>
    </xf>
    <xf numFmtId="165" fontId="0" fillId="36" borderId="75" xfId="46" applyNumberFormat="1" applyFill="1" applyBorder="1" applyAlignment="1" applyProtection="1">
      <alignment horizontal="center" vertical="center"/>
      <protection/>
    </xf>
    <xf numFmtId="165" fontId="0" fillId="36" borderId="189" xfId="46" applyNumberFormat="1" applyFill="1" applyBorder="1" applyAlignment="1" applyProtection="1">
      <alignment horizontal="center" vertical="center"/>
      <protection/>
    </xf>
    <xf numFmtId="165" fontId="8" fillId="36" borderId="58" xfId="46" applyNumberFormat="1" applyFont="1" applyFill="1" applyBorder="1" applyAlignment="1" applyProtection="1">
      <alignment horizontal="right" vertical="center"/>
      <protection/>
    </xf>
    <xf numFmtId="165" fontId="8" fillId="36" borderId="91" xfId="46" applyNumberFormat="1" applyFont="1" applyFill="1" applyBorder="1" applyAlignment="1" applyProtection="1">
      <alignment horizontal="right" vertical="center"/>
      <protection/>
    </xf>
    <xf numFmtId="165" fontId="8" fillId="0" borderId="146" xfId="46" applyNumberFormat="1" applyFont="1" applyFill="1" applyBorder="1" applyAlignment="1" applyProtection="1">
      <alignment horizontal="right" vertical="center"/>
      <protection/>
    </xf>
    <xf numFmtId="165" fontId="8" fillId="0" borderId="147" xfId="46" applyNumberFormat="1" applyFont="1" applyFill="1" applyBorder="1" applyAlignment="1" applyProtection="1">
      <alignment horizontal="right" vertical="center"/>
      <protection/>
    </xf>
    <xf numFmtId="3" fontId="0" fillId="36" borderId="23" xfId="0" applyNumberFormat="1" applyFont="1" applyFill="1" applyBorder="1" applyAlignment="1">
      <alignment horizontal="left"/>
    </xf>
    <xf numFmtId="165" fontId="0" fillId="36" borderId="175" xfId="46" applyNumberFormat="1" applyFill="1" applyBorder="1" applyAlignment="1" applyProtection="1">
      <alignment horizontal="right" vertical="center"/>
      <protection/>
    </xf>
    <xf numFmtId="165" fontId="0" fillId="36" borderId="190" xfId="46" applyNumberFormat="1" applyFill="1" applyBorder="1" applyAlignment="1" applyProtection="1">
      <alignment horizontal="right" vertical="center"/>
      <protection/>
    </xf>
    <xf numFmtId="3" fontId="0" fillId="36" borderId="58" xfId="0" applyNumberFormat="1" applyFont="1" applyFill="1" applyBorder="1" applyAlignment="1">
      <alignment horizontal="left"/>
    </xf>
    <xf numFmtId="165" fontId="0" fillId="36" borderId="58" xfId="46" applyNumberFormat="1" applyFill="1" applyBorder="1" applyAlignment="1" applyProtection="1">
      <alignment horizontal="right" vertical="center"/>
      <protection/>
    </xf>
    <xf numFmtId="3" fontId="0" fillId="0" borderId="82" xfId="0" applyNumberFormat="1" applyFont="1" applyBorder="1" applyAlignment="1">
      <alignment horizontal="center"/>
    </xf>
    <xf numFmtId="1" fontId="0" fillId="36" borderId="81" xfId="0" applyNumberFormat="1" applyFont="1" applyFill="1" applyBorder="1" applyAlignment="1">
      <alignment horizontal="center"/>
    </xf>
    <xf numFmtId="167" fontId="2" fillId="36" borderId="81" xfId="0" applyNumberFormat="1" applyFont="1" applyFill="1" applyBorder="1" applyAlignment="1">
      <alignment/>
    </xf>
    <xf numFmtId="165" fontId="0" fillId="36" borderId="104" xfId="46" applyNumberFormat="1" applyFill="1" applyBorder="1" applyAlignment="1" applyProtection="1">
      <alignment horizontal="right" vertical="center"/>
      <protection/>
    </xf>
    <xf numFmtId="165" fontId="0" fillId="36" borderId="135" xfId="46" applyNumberFormat="1" applyFill="1" applyBorder="1" applyAlignment="1" applyProtection="1">
      <alignment horizontal="right" vertical="center"/>
      <protection/>
    </xf>
    <xf numFmtId="3" fontId="0" fillId="0" borderId="113" xfId="0" applyNumberFormat="1" applyFont="1" applyBorder="1" applyAlignment="1">
      <alignment horizontal="center"/>
    </xf>
    <xf numFmtId="165" fontId="0" fillId="36" borderId="91" xfId="46" applyNumberFormat="1" applyFill="1" applyBorder="1" applyAlignment="1" applyProtection="1">
      <alignment horizontal="right" vertical="center"/>
      <protection/>
    </xf>
    <xf numFmtId="0" fontId="8" fillId="0" borderId="113" xfId="0" applyFont="1" applyBorder="1" applyAlignment="1">
      <alignment horizontal="right"/>
    </xf>
    <xf numFmtId="165" fontId="8" fillId="0" borderId="58" xfId="46" applyNumberFormat="1" applyFont="1" applyFill="1" applyBorder="1" applyAlignment="1" applyProtection="1">
      <alignment horizontal="right" vertical="center"/>
      <protection/>
    </xf>
    <xf numFmtId="165" fontId="8" fillId="0" borderId="91" xfId="46" applyNumberFormat="1" applyFont="1" applyFill="1" applyBorder="1" applyAlignment="1" applyProtection="1">
      <alignment horizontal="right" vertical="center"/>
      <protection/>
    </xf>
    <xf numFmtId="3" fontId="28" fillId="0" borderId="13" xfId="0" applyNumberFormat="1" applyFont="1" applyFill="1" applyBorder="1" applyAlignment="1">
      <alignment horizontal="right"/>
    </xf>
    <xf numFmtId="3" fontId="28" fillId="33" borderId="46" xfId="0" applyNumberFormat="1" applyFont="1" applyFill="1" applyBorder="1" applyAlignment="1">
      <alignment horizontal="right"/>
    </xf>
    <xf numFmtId="3" fontId="28" fillId="33" borderId="12" xfId="0" applyNumberFormat="1" applyFont="1" applyFill="1" applyBorder="1" applyAlignment="1">
      <alignment horizontal="right"/>
    </xf>
    <xf numFmtId="3" fontId="8" fillId="33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2" fillId="40" borderId="0" xfId="0" applyFont="1" applyFill="1" applyBorder="1" applyAlignment="1">
      <alignment horizontal="center"/>
    </xf>
    <xf numFmtId="0" fontId="2" fillId="0" borderId="116" xfId="0" applyFont="1" applyBorder="1" applyAlignment="1">
      <alignment horizontal="center" vertical="center" wrapText="1"/>
    </xf>
    <xf numFmtId="3" fontId="0" fillId="0" borderId="70" xfId="0" applyNumberFormat="1" applyFont="1" applyFill="1" applyBorder="1" applyAlignment="1">
      <alignment horizontal="left"/>
    </xf>
    <xf numFmtId="3" fontId="0" fillId="0" borderId="71" xfId="0" applyNumberFormat="1" applyFont="1" applyFill="1" applyBorder="1" applyAlignment="1">
      <alignment horizontal="left"/>
    </xf>
    <xf numFmtId="165" fontId="2" fillId="0" borderId="0" xfId="46" applyNumberFormat="1" applyFont="1" applyFill="1" applyBorder="1" applyAlignment="1" applyProtection="1">
      <alignment/>
      <protection/>
    </xf>
    <xf numFmtId="165" fontId="2" fillId="0" borderId="36" xfId="46" applyNumberFormat="1" applyFont="1" applyFill="1" applyBorder="1" applyAlignment="1" applyProtection="1">
      <alignment/>
      <protection/>
    </xf>
    <xf numFmtId="165" fontId="2" fillId="0" borderId="108" xfId="46" applyNumberFormat="1" applyFont="1" applyFill="1" applyBorder="1" applyAlignment="1" applyProtection="1">
      <alignment/>
      <protection/>
    </xf>
    <xf numFmtId="3" fontId="6" fillId="0" borderId="110" xfId="0" applyNumberFormat="1" applyFont="1" applyBorder="1" applyAlignment="1">
      <alignment/>
    </xf>
    <xf numFmtId="3" fontId="6" fillId="0" borderId="111" xfId="0" applyNumberFormat="1" applyFont="1" applyBorder="1" applyAlignment="1">
      <alignment/>
    </xf>
    <xf numFmtId="165" fontId="6" fillId="0" borderId="110" xfId="46" applyNumberFormat="1" applyFont="1" applyFill="1" applyBorder="1" applyAlignment="1" applyProtection="1">
      <alignment/>
      <protection/>
    </xf>
    <xf numFmtId="165" fontId="6" fillId="0" borderId="112" xfId="46" applyNumberFormat="1" applyFont="1" applyFill="1" applyBorder="1" applyAlignment="1" applyProtection="1">
      <alignment/>
      <protection/>
    </xf>
    <xf numFmtId="3" fontId="33" fillId="0" borderId="70" xfId="0" applyNumberFormat="1" applyFont="1" applyBorder="1" applyAlignment="1">
      <alignment/>
    </xf>
    <xf numFmtId="3" fontId="33" fillId="0" borderId="71" xfId="0" applyNumberFormat="1" applyFont="1" applyBorder="1" applyAlignment="1">
      <alignment/>
    </xf>
    <xf numFmtId="165" fontId="2" fillId="33" borderId="40" xfId="46" applyNumberFormat="1" applyFont="1" applyFill="1" applyBorder="1" applyAlignment="1" applyProtection="1">
      <alignment horizontal="center" vertical="center"/>
      <protection/>
    </xf>
    <xf numFmtId="3" fontId="0" fillId="0" borderId="191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165" fontId="2" fillId="0" borderId="21" xfId="46" applyNumberFormat="1" applyFont="1" applyFill="1" applyBorder="1" applyAlignment="1" applyProtection="1">
      <alignment horizontal="right" vertical="center"/>
      <protection/>
    </xf>
    <xf numFmtId="165" fontId="2" fillId="0" borderId="96" xfId="46" applyNumberFormat="1" applyFont="1" applyFill="1" applyBorder="1" applyAlignment="1" applyProtection="1">
      <alignment horizontal="right" vertical="center"/>
      <protection/>
    </xf>
    <xf numFmtId="165" fontId="2" fillId="42" borderId="58" xfId="46" applyNumberFormat="1" applyFont="1" applyFill="1" applyBorder="1" applyAlignment="1" applyProtection="1">
      <alignment horizontal="center" vertical="center"/>
      <protection/>
    </xf>
    <xf numFmtId="165" fontId="8" fillId="42" borderId="58" xfId="46" applyNumberFormat="1" applyFont="1" applyFill="1" applyBorder="1" applyAlignment="1" applyProtection="1">
      <alignment horizontal="center" vertical="center"/>
      <protection/>
    </xf>
    <xf numFmtId="3" fontId="8" fillId="42" borderId="58" xfId="0" applyNumberFormat="1" applyFont="1" applyFill="1" applyBorder="1" applyAlignment="1">
      <alignment vertical="center" wrapText="1"/>
    </xf>
    <xf numFmtId="3" fontId="2" fillId="42" borderId="58" xfId="0" applyNumberFormat="1" applyFont="1" applyFill="1" applyBorder="1" applyAlignment="1">
      <alignment vertical="center" wrapText="1"/>
    </xf>
    <xf numFmtId="3" fontId="19" fillId="0" borderId="130" xfId="0" applyNumberFormat="1" applyFont="1" applyFill="1" applyBorder="1" applyAlignment="1">
      <alignment horizontal="left" vertical="center" wrapText="1"/>
    </xf>
    <xf numFmtId="3" fontId="19" fillId="0" borderId="12" xfId="0" applyNumberFormat="1" applyFont="1" applyFill="1" applyBorder="1" applyAlignment="1">
      <alignment horizontal="left" vertical="center" wrapText="1"/>
    </xf>
    <xf numFmtId="165" fontId="19" fillId="40" borderId="12" xfId="46" applyNumberFormat="1" applyFont="1" applyFill="1" applyBorder="1" applyAlignment="1" applyProtection="1">
      <alignment horizontal="left" vertical="center" wrapText="1"/>
      <protection/>
    </xf>
    <xf numFmtId="165" fontId="19" fillId="0" borderId="84" xfId="46" applyNumberFormat="1" applyFont="1" applyFill="1" applyBorder="1" applyAlignment="1" applyProtection="1">
      <alignment horizontal="left"/>
      <protection/>
    </xf>
    <xf numFmtId="0" fontId="19" fillId="0" borderId="0" xfId="0" applyFont="1" applyFill="1" applyAlignment="1">
      <alignment horizontal="left" vertical="center" wrapText="1"/>
    </xf>
    <xf numFmtId="3" fontId="36" fillId="0" borderId="130" xfId="0" applyNumberFormat="1" applyFont="1" applyFill="1" applyBorder="1" applyAlignment="1">
      <alignment horizontal="left" vertical="center" wrapText="1"/>
    </xf>
    <xf numFmtId="3" fontId="36" fillId="0" borderId="12" xfId="0" applyNumberFormat="1" applyFont="1" applyFill="1" applyBorder="1" applyAlignment="1">
      <alignment horizontal="left" vertical="center" wrapText="1"/>
    </xf>
    <xf numFmtId="165" fontId="36" fillId="40" borderId="12" xfId="46" applyNumberFormat="1" applyFont="1" applyFill="1" applyBorder="1" applyAlignment="1" applyProtection="1">
      <alignment horizontal="left" vertical="center" wrapText="1"/>
      <protection/>
    </xf>
    <xf numFmtId="165" fontId="36" fillId="0" borderId="84" xfId="46" applyNumberFormat="1" applyFont="1" applyFill="1" applyBorder="1" applyAlignment="1" applyProtection="1">
      <alignment horizontal="left"/>
      <protection/>
    </xf>
    <xf numFmtId="0" fontId="36" fillId="0" borderId="0" xfId="0" applyFont="1" applyFill="1" applyAlignment="1">
      <alignment horizontal="left" vertical="center" wrapText="1"/>
    </xf>
    <xf numFmtId="165" fontId="37" fillId="0" borderId="84" xfId="46" applyNumberFormat="1" applyFont="1" applyFill="1" applyBorder="1" applyAlignment="1" applyProtection="1">
      <alignment horizontal="left"/>
      <protection/>
    </xf>
    <xf numFmtId="3" fontId="0" fillId="0" borderId="175" xfId="0" applyNumberFormat="1" applyFont="1" applyBorder="1" applyAlignment="1">
      <alignment horizontal="left" vertical="center"/>
    </xf>
    <xf numFmtId="3" fontId="0" fillId="0" borderId="127" xfId="0" applyNumberFormat="1" applyFont="1" applyBorder="1" applyAlignment="1">
      <alignment horizontal="left" vertical="center"/>
    </xf>
    <xf numFmtId="165" fontId="37" fillId="0" borderId="11" xfId="46" applyNumberFormat="1" applyFont="1" applyFill="1" applyBorder="1" applyAlignment="1" applyProtection="1">
      <alignment horizontal="left"/>
      <protection/>
    </xf>
    <xf numFmtId="165" fontId="37" fillId="0" borderId="33" xfId="46" applyNumberFormat="1" applyFont="1" applyFill="1" applyBorder="1" applyAlignment="1" applyProtection="1">
      <alignment horizontal="left"/>
      <protection/>
    </xf>
    <xf numFmtId="165" fontId="33" fillId="0" borderId="84" xfId="46" applyNumberFormat="1" applyFont="1" applyFill="1" applyBorder="1" applyAlignment="1" applyProtection="1">
      <alignment/>
      <protection/>
    </xf>
    <xf numFmtId="3" fontId="37" fillId="0" borderId="132" xfId="0" applyNumberFormat="1" applyFont="1" applyFill="1" applyBorder="1" applyAlignment="1">
      <alignment horizontal="center"/>
    </xf>
    <xf numFmtId="165" fontId="37" fillId="0" borderId="23" xfId="46" applyNumberFormat="1" applyFont="1" applyFill="1" applyBorder="1" applyAlignment="1" applyProtection="1">
      <alignment/>
      <protection/>
    </xf>
    <xf numFmtId="165" fontId="37" fillId="0" borderId="36" xfId="46" applyNumberFormat="1" applyFont="1" applyFill="1" applyBorder="1" applyAlignment="1" applyProtection="1">
      <alignment horizontal="left"/>
      <protection/>
    </xf>
    <xf numFmtId="165" fontId="37" fillId="0" borderId="34" xfId="46" applyNumberFormat="1" applyFont="1" applyFill="1" applyBorder="1" applyAlignment="1" applyProtection="1">
      <alignment horizontal="left"/>
      <protection/>
    </xf>
    <xf numFmtId="165" fontId="37" fillId="40" borderId="23" xfId="46" applyNumberFormat="1" applyFont="1" applyFill="1" applyBorder="1" applyAlignment="1" applyProtection="1">
      <alignment horizontal="right"/>
      <protection/>
    </xf>
    <xf numFmtId="165" fontId="37" fillId="0" borderId="95" xfId="46" applyNumberFormat="1" applyFont="1" applyFill="1" applyBorder="1" applyAlignment="1" applyProtection="1">
      <alignment/>
      <protection/>
    </xf>
    <xf numFmtId="165" fontId="37" fillId="0" borderId="36" xfId="46" applyNumberFormat="1" applyFont="1" applyFill="1" applyBorder="1" applyAlignment="1" applyProtection="1">
      <alignment horizontal="left" wrapText="1"/>
      <protection/>
    </xf>
    <xf numFmtId="0" fontId="2" fillId="0" borderId="192" xfId="0" applyFont="1" applyBorder="1" applyAlignment="1">
      <alignment wrapText="1"/>
    </xf>
    <xf numFmtId="0" fontId="2" fillId="0" borderId="165" xfId="0" applyFont="1" applyBorder="1" applyAlignment="1">
      <alignment horizontal="center" vertical="center" wrapText="1"/>
    </xf>
    <xf numFmtId="0" fontId="2" fillId="0" borderId="19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left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48" xfId="0" applyFont="1" applyBorder="1" applyAlignment="1">
      <alignment horizontal="center" vertical="center" wrapText="1"/>
    </xf>
    <xf numFmtId="165" fontId="2" fillId="0" borderId="69" xfId="46" applyNumberFormat="1" applyFont="1" applyBorder="1" applyAlignment="1">
      <alignment horizontal="center" vertical="center" wrapText="1"/>
    </xf>
    <xf numFmtId="165" fontId="2" fillId="0" borderId="100" xfId="46" applyNumberFormat="1" applyFont="1" applyBorder="1" applyAlignment="1">
      <alignment horizontal="center" vertical="center" wrapText="1"/>
    </xf>
    <xf numFmtId="0" fontId="0" fillId="40" borderId="58" xfId="0" applyFont="1" applyFill="1" applyBorder="1" applyAlignment="1">
      <alignment horizontal="left" vertical="top" wrapText="1"/>
    </xf>
    <xf numFmtId="0" fontId="2" fillId="0" borderId="134" xfId="0" applyFont="1" applyBorder="1" applyAlignment="1">
      <alignment horizontal="center" vertical="center" wrapText="1"/>
    </xf>
    <xf numFmtId="165" fontId="0" fillId="0" borderId="70" xfId="46" applyNumberFormat="1" applyBorder="1" applyAlignment="1">
      <alignment horizontal="center" vertical="center" wrapText="1"/>
    </xf>
    <xf numFmtId="165" fontId="1" fillId="0" borderId="70" xfId="46" applyNumberFormat="1" applyFont="1" applyBorder="1" applyAlignment="1">
      <alignment horizontal="center" vertical="center" wrapText="1"/>
    </xf>
    <xf numFmtId="165" fontId="5" fillId="0" borderId="70" xfId="0" applyNumberFormat="1" applyFont="1" applyBorder="1" applyAlignment="1">
      <alignment horizontal="center" vertical="center" wrapText="1"/>
    </xf>
    <xf numFmtId="165" fontId="5" fillId="0" borderId="70" xfId="46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165" fontId="5" fillId="0" borderId="148" xfId="46" applyNumberFormat="1" applyFont="1" applyBorder="1" applyAlignment="1">
      <alignment horizontal="center" vertical="center"/>
    </xf>
    <xf numFmtId="165" fontId="0" fillId="0" borderId="72" xfId="46" applyNumberFormat="1" applyBorder="1" applyAlignment="1">
      <alignment horizontal="center" vertical="center"/>
    </xf>
    <xf numFmtId="165" fontId="0" fillId="0" borderId="70" xfId="46" applyNumberFormat="1" applyBorder="1" applyAlignment="1">
      <alignment horizontal="center" vertical="center"/>
    </xf>
    <xf numFmtId="165" fontId="0" fillId="0" borderId="134" xfId="46" applyNumberFormat="1" applyBorder="1" applyAlignment="1">
      <alignment horizontal="center" vertical="center"/>
    </xf>
    <xf numFmtId="165" fontId="0" fillId="0" borderId="148" xfId="46" applyNumberFormat="1" applyBorder="1" applyAlignment="1">
      <alignment horizontal="center" vertical="center"/>
    </xf>
    <xf numFmtId="165" fontId="5" fillId="51" borderId="148" xfId="46" applyNumberFormat="1" applyFont="1" applyFill="1" applyBorder="1" applyAlignment="1">
      <alignment horizontal="center" vertical="center"/>
    </xf>
    <xf numFmtId="165" fontId="2" fillId="0" borderId="72" xfId="46" applyNumberFormat="1" applyFont="1" applyBorder="1" applyAlignment="1">
      <alignment/>
    </xf>
    <xf numFmtId="165" fontId="5" fillId="51" borderId="194" xfId="0" applyNumberFormat="1" applyFont="1" applyFill="1" applyBorder="1" applyAlignment="1">
      <alignment/>
    </xf>
    <xf numFmtId="165" fontId="0" fillId="0" borderId="70" xfId="46" applyNumberFormat="1" applyBorder="1" applyAlignment="1">
      <alignment/>
    </xf>
    <xf numFmtId="165" fontId="0" fillId="0" borderId="134" xfId="46" applyNumberFormat="1" applyBorder="1" applyAlignment="1">
      <alignment/>
    </xf>
    <xf numFmtId="165" fontId="5" fillId="51" borderId="148" xfId="0" applyNumberFormat="1" applyFont="1" applyFill="1" applyBorder="1" applyAlignment="1">
      <alignment/>
    </xf>
    <xf numFmtId="165" fontId="0" fillId="0" borderId="113" xfId="46" applyNumberFormat="1" applyBorder="1" applyAlignment="1">
      <alignment horizontal="center" vertical="center" wrapText="1"/>
    </xf>
    <xf numFmtId="165" fontId="0" fillId="0" borderId="91" xfId="46" applyNumberFormat="1" applyBorder="1" applyAlignment="1">
      <alignment horizontal="center" vertical="center" wrapText="1"/>
    </xf>
    <xf numFmtId="165" fontId="1" fillId="0" borderId="113" xfId="46" applyNumberFormat="1" applyFont="1" applyBorder="1" applyAlignment="1">
      <alignment horizontal="center" vertical="center" wrapText="1"/>
    </xf>
    <xf numFmtId="165" fontId="1" fillId="0" borderId="91" xfId="46" applyNumberFormat="1" applyFont="1" applyBorder="1" applyAlignment="1">
      <alignment horizontal="center" vertical="center" wrapText="1"/>
    </xf>
    <xf numFmtId="165" fontId="5" fillId="0" borderId="113" xfId="0" applyNumberFormat="1" applyFont="1" applyBorder="1" applyAlignment="1">
      <alignment horizontal="center" vertical="center" wrapText="1"/>
    </xf>
    <xf numFmtId="165" fontId="5" fillId="0" borderId="91" xfId="0" applyNumberFormat="1" applyFont="1" applyBorder="1" applyAlignment="1">
      <alignment horizontal="center" vertical="center" wrapText="1"/>
    </xf>
    <xf numFmtId="165" fontId="5" fillId="0" borderId="113" xfId="46" applyNumberFormat="1" applyFont="1" applyBorder="1" applyAlignment="1">
      <alignment horizontal="center" vertical="center" wrapText="1"/>
    </xf>
    <xf numFmtId="165" fontId="5" fillId="0" borderId="91" xfId="46" applyNumberFormat="1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165" fontId="5" fillId="0" borderId="123" xfId="46" applyNumberFormat="1" applyFont="1" applyBorder="1" applyAlignment="1">
      <alignment horizontal="center" vertical="center"/>
    </xf>
    <xf numFmtId="165" fontId="0" fillId="0" borderId="114" xfId="46" applyNumberFormat="1" applyBorder="1" applyAlignment="1">
      <alignment horizontal="center" vertical="center"/>
    </xf>
    <xf numFmtId="165" fontId="0" fillId="0" borderId="99" xfId="46" applyNumberFormat="1" applyBorder="1" applyAlignment="1">
      <alignment horizontal="center" vertical="center"/>
    </xf>
    <xf numFmtId="165" fontId="0" fillId="0" borderId="113" xfId="46" applyNumberFormat="1" applyBorder="1" applyAlignment="1">
      <alignment horizontal="center" vertical="center"/>
    </xf>
    <xf numFmtId="165" fontId="0" fillId="0" borderId="91" xfId="46" applyNumberFormat="1" applyBorder="1" applyAlignment="1">
      <alignment horizontal="center" vertical="center"/>
    </xf>
    <xf numFmtId="165" fontId="0" fillId="0" borderId="116" xfId="46" applyNumberFormat="1" applyBorder="1" applyAlignment="1">
      <alignment horizontal="center" vertical="center"/>
    </xf>
    <xf numFmtId="165" fontId="0" fillId="0" borderId="101" xfId="46" applyNumberFormat="1" applyBorder="1" applyAlignment="1">
      <alignment horizontal="center" vertical="center"/>
    </xf>
    <xf numFmtId="165" fontId="0" fillId="0" borderId="123" xfId="46" applyNumberFormat="1" applyBorder="1" applyAlignment="1">
      <alignment horizontal="center" vertical="center"/>
    </xf>
    <xf numFmtId="165" fontId="0" fillId="0" borderId="100" xfId="46" applyNumberFormat="1" applyBorder="1" applyAlignment="1">
      <alignment horizontal="center" vertical="center"/>
    </xf>
    <xf numFmtId="165" fontId="5" fillId="51" borderId="123" xfId="46" applyNumberFormat="1" applyFont="1" applyFill="1" applyBorder="1" applyAlignment="1">
      <alignment horizontal="center" vertical="center"/>
    </xf>
    <xf numFmtId="165" fontId="2" fillId="0" borderId="114" xfId="46" applyNumberFormat="1" applyFont="1" applyBorder="1" applyAlignment="1">
      <alignment/>
    </xf>
    <xf numFmtId="165" fontId="2" fillId="0" borderId="99" xfId="46" applyNumberFormat="1" applyFont="1" applyBorder="1" applyAlignment="1">
      <alignment/>
    </xf>
    <xf numFmtId="165" fontId="2" fillId="0" borderId="113" xfId="46" applyNumberFormat="1" applyFont="1" applyBorder="1" applyAlignment="1">
      <alignment/>
    </xf>
    <xf numFmtId="165" fontId="2" fillId="0" borderId="113" xfId="0" applyNumberFormat="1" applyFont="1" applyBorder="1" applyAlignment="1">
      <alignment/>
    </xf>
    <xf numFmtId="165" fontId="8" fillId="0" borderId="113" xfId="46" applyNumberFormat="1" applyFont="1" applyBorder="1" applyAlignment="1">
      <alignment/>
    </xf>
    <xf numFmtId="0" fontId="8" fillId="0" borderId="113" xfId="0" applyFont="1" applyBorder="1" applyAlignment="1">
      <alignment/>
    </xf>
    <xf numFmtId="165" fontId="5" fillId="51" borderId="184" xfId="0" applyNumberFormat="1" applyFont="1" applyFill="1" applyBorder="1" applyAlignment="1">
      <alignment/>
    </xf>
    <xf numFmtId="165" fontId="0" fillId="0" borderId="113" xfId="46" applyNumberFormat="1" applyBorder="1" applyAlignment="1">
      <alignment/>
    </xf>
    <xf numFmtId="165" fontId="0" fillId="0" borderId="91" xfId="46" applyNumberFormat="1" applyBorder="1" applyAlignment="1">
      <alignment/>
    </xf>
    <xf numFmtId="165" fontId="0" fillId="0" borderId="116" xfId="46" applyNumberFormat="1" applyBorder="1" applyAlignment="1">
      <alignment/>
    </xf>
    <xf numFmtId="165" fontId="0" fillId="0" borderId="101" xfId="46" applyNumberFormat="1" applyBorder="1" applyAlignment="1">
      <alignment/>
    </xf>
    <xf numFmtId="165" fontId="5" fillId="51" borderId="123" xfId="0" applyNumberFormat="1" applyFont="1" applyFill="1" applyBorder="1" applyAlignment="1">
      <alignment/>
    </xf>
    <xf numFmtId="3" fontId="33" fillId="0" borderId="30" xfId="0" applyNumberFormat="1" applyFont="1" applyBorder="1" applyAlignment="1">
      <alignment wrapText="1"/>
    </xf>
    <xf numFmtId="1" fontId="8" fillId="0" borderId="12" xfId="46" applyNumberFormat="1" applyFont="1" applyBorder="1" applyAlignment="1">
      <alignment/>
    </xf>
    <xf numFmtId="3" fontId="33" fillId="0" borderId="67" xfId="0" applyNumberFormat="1" applyFont="1" applyBorder="1" applyAlignment="1">
      <alignment horizontal="center"/>
    </xf>
    <xf numFmtId="3" fontId="2" fillId="33" borderId="123" xfId="0" applyNumberFormat="1" applyFont="1" applyFill="1" applyBorder="1" applyAlignment="1">
      <alignment horizontal="center"/>
    </xf>
    <xf numFmtId="3" fontId="2" fillId="33" borderId="78" xfId="0" applyNumberFormat="1" applyFont="1" applyFill="1" applyBorder="1" applyAlignment="1">
      <alignment/>
    </xf>
    <xf numFmtId="3" fontId="0" fillId="42" borderId="68" xfId="0" applyNumberFormat="1" applyFont="1" applyFill="1" applyBorder="1" applyAlignment="1">
      <alignment horizontal="center"/>
    </xf>
    <xf numFmtId="3" fontId="0" fillId="42" borderId="68" xfId="0" applyNumberFormat="1" applyFont="1" applyFill="1" applyBorder="1" applyAlignment="1">
      <alignment wrapText="1"/>
    </xf>
    <xf numFmtId="3" fontId="0" fillId="42" borderId="68" xfId="0" applyNumberFormat="1" applyFont="1" applyFill="1" applyBorder="1" applyAlignment="1">
      <alignment/>
    </xf>
    <xf numFmtId="3" fontId="8" fillId="42" borderId="67" xfId="0" applyNumberFormat="1" applyFont="1" applyFill="1" applyBorder="1" applyAlignment="1">
      <alignment horizontal="center"/>
    </xf>
    <xf numFmtId="3" fontId="8" fillId="42" borderId="67" xfId="0" applyNumberFormat="1" applyFont="1" applyFill="1" applyBorder="1" applyAlignment="1">
      <alignment wrapText="1"/>
    </xf>
    <xf numFmtId="3" fontId="8" fillId="42" borderId="67" xfId="0" applyNumberFormat="1" applyFont="1" applyFill="1" applyBorder="1" applyAlignment="1">
      <alignment/>
    </xf>
    <xf numFmtId="3" fontId="2" fillId="41" borderId="123" xfId="0" applyNumberFormat="1" applyFont="1" applyFill="1" applyBorder="1" applyAlignment="1">
      <alignment horizontal="center"/>
    </xf>
    <xf numFmtId="3" fontId="2" fillId="41" borderId="54" xfId="0" applyNumberFormat="1" applyFont="1" applyFill="1" applyBorder="1" applyAlignment="1">
      <alignment/>
    </xf>
    <xf numFmtId="3" fontId="2" fillId="41" borderId="78" xfId="0" applyNumberFormat="1" applyFont="1" applyFill="1" applyBorder="1" applyAlignment="1">
      <alignment/>
    </xf>
    <xf numFmtId="3" fontId="0" fillId="0" borderId="195" xfId="0" applyNumberFormat="1" applyFont="1" applyBorder="1" applyAlignment="1">
      <alignment horizontal="center"/>
    </xf>
    <xf numFmtId="3" fontId="0" fillId="0" borderId="196" xfId="0" applyNumberFormat="1" applyFont="1" applyBorder="1" applyAlignment="1">
      <alignment/>
    </xf>
    <xf numFmtId="9" fontId="33" fillId="0" borderId="23" xfId="0" applyNumberFormat="1" applyFont="1" applyBorder="1" applyAlignment="1">
      <alignment/>
    </xf>
    <xf numFmtId="1" fontId="33" fillId="0" borderId="23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65" fontId="0" fillId="42" borderId="14" xfId="46" applyNumberFormat="1" applyFont="1" applyFill="1" applyBorder="1" applyAlignment="1" applyProtection="1">
      <alignment horizontal="center"/>
      <protection/>
    </xf>
    <xf numFmtId="165" fontId="0" fillId="42" borderId="14" xfId="46" applyNumberFormat="1" applyFont="1" applyFill="1" applyBorder="1" applyAlignment="1" applyProtection="1">
      <alignment horizontal="center" vertical="center" wrapText="1"/>
      <protection/>
    </xf>
    <xf numFmtId="3" fontId="2" fillId="43" borderId="58" xfId="0" applyNumberFormat="1" applyFont="1" applyFill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3" fillId="0" borderId="81" xfId="0" applyFont="1" applyBorder="1" applyAlignment="1">
      <alignment horizontal="center" vertical="center" wrapText="1"/>
    </xf>
    <xf numFmtId="0" fontId="43" fillId="0" borderId="7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84" xfId="0" applyFont="1" applyBorder="1" applyAlignment="1">
      <alignment horizontal="center" vertical="center"/>
    </xf>
    <xf numFmtId="0" fontId="41" fillId="0" borderId="170" xfId="0" applyFont="1" applyBorder="1" applyAlignment="1">
      <alignment horizontal="center" vertical="center"/>
    </xf>
    <xf numFmtId="3" fontId="41" fillId="0" borderId="23" xfId="0" applyNumberFormat="1" applyFont="1" applyBorder="1" applyAlignment="1">
      <alignment vertical="center" wrapText="1"/>
    </xf>
    <xf numFmtId="3" fontId="41" fillId="0" borderId="23" xfId="0" applyNumberFormat="1" applyFont="1" applyBorder="1" applyAlignment="1">
      <alignment vertical="center"/>
    </xf>
    <xf numFmtId="3" fontId="41" fillId="0" borderId="23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95" xfId="0" applyNumberFormat="1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3" fontId="41" fillId="0" borderId="58" xfId="0" applyNumberFormat="1" applyFont="1" applyBorder="1" applyAlignment="1">
      <alignment vertical="center"/>
    </xf>
    <xf numFmtId="165" fontId="0" fillId="0" borderId="58" xfId="46" applyNumberFormat="1" applyBorder="1" applyAlignment="1">
      <alignment vertical="center"/>
    </xf>
    <xf numFmtId="165" fontId="0" fillId="0" borderId="58" xfId="46" applyNumberFormat="1" applyBorder="1" applyAlignment="1">
      <alignment horizontal="right" vertical="center"/>
    </xf>
    <xf numFmtId="3" fontId="43" fillId="0" borderId="58" xfId="0" applyNumberFormat="1" applyFont="1" applyBorder="1" applyAlignment="1">
      <alignment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 wrapText="1"/>
    </xf>
    <xf numFmtId="165" fontId="0" fillId="0" borderId="146" xfId="46" applyNumberFormat="1" applyBorder="1" applyAlignment="1">
      <alignment/>
    </xf>
    <xf numFmtId="0" fontId="0" fillId="0" borderId="147" xfId="0" applyBorder="1" applyAlignment="1">
      <alignment/>
    </xf>
    <xf numFmtId="0" fontId="2" fillId="40" borderId="0" xfId="0" applyFont="1" applyFill="1" applyBorder="1" applyAlignment="1">
      <alignment horizontal="center"/>
    </xf>
    <xf numFmtId="3" fontId="2" fillId="33" borderId="81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/>
    </xf>
    <xf numFmtId="3" fontId="33" fillId="0" borderId="70" xfId="0" applyNumberFormat="1" applyFont="1" applyFill="1" applyBorder="1" applyAlignment="1">
      <alignment horizontal="left"/>
    </xf>
    <xf numFmtId="3" fontId="33" fillId="0" borderId="71" xfId="0" applyNumberFormat="1" applyFont="1" applyFill="1" applyBorder="1" applyAlignment="1">
      <alignment horizontal="left"/>
    </xf>
    <xf numFmtId="165" fontId="2" fillId="33" borderId="29" xfId="46" applyNumberFormat="1" applyFont="1" applyFill="1" applyBorder="1" applyAlignment="1" applyProtection="1">
      <alignment horizontal="center" vertical="center"/>
      <protection/>
    </xf>
    <xf numFmtId="165" fontId="2" fillId="0" borderId="29" xfId="46" applyNumberFormat="1" applyFont="1" applyFill="1" applyBorder="1" applyAlignment="1" applyProtection="1">
      <alignment horizontal="center" vertical="center"/>
      <protection/>
    </xf>
    <xf numFmtId="165" fontId="8" fillId="0" borderId="29" xfId="46" applyNumberFormat="1" applyFont="1" applyFill="1" applyBorder="1" applyAlignment="1" applyProtection="1">
      <alignment horizontal="center" vertical="center"/>
      <protection/>
    </xf>
    <xf numFmtId="165" fontId="8" fillId="0" borderId="175" xfId="46" applyNumberFormat="1" applyFont="1" applyFill="1" applyBorder="1" applyAlignment="1" applyProtection="1">
      <alignment horizontal="center" vertical="center"/>
      <protection/>
    </xf>
    <xf numFmtId="165" fontId="8" fillId="0" borderId="70" xfId="46" applyNumberFormat="1" applyFont="1" applyFill="1" applyBorder="1" applyAlignment="1" applyProtection="1">
      <alignment horizontal="center" vertical="center"/>
      <protection/>
    </xf>
    <xf numFmtId="165" fontId="2" fillId="0" borderId="36" xfId="46" applyNumberFormat="1" applyFont="1" applyFill="1" applyBorder="1" applyAlignment="1" applyProtection="1">
      <alignment horizontal="center" vertical="center"/>
      <protection/>
    </xf>
    <xf numFmtId="165" fontId="2" fillId="33" borderId="197" xfId="46" applyNumberFormat="1" applyFont="1" applyFill="1" applyBorder="1" applyAlignment="1" applyProtection="1">
      <alignment horizontal="center" vertical="center"/>
      <protection/>
    </xf>
    <xf numFmtId="165" fontId="2" fillId="33" borderId="154" xfId="46" applyNumberFormat="1" applyFont="1" applyFill="1" applyBorder="1" applyAlignment="1" applyProtection="1">
      <alignment horizontal="center" vertical="center" wrapText="1"/>
      <protection/>
    </xf>
    <xf numFmtId="165" fontId="2" fillId="33" borderId="135" xfId="46" applyNumberFormat="1" applyFont="1" applyFill="1" applyBorder="1" applyAlignment="1" applyProtection="1">
      <alignment horizontal="center" vertical="center"/>
      <protection/>
    </xf>
    <xf numFmtId="165" fontId="2" fillId="0" borderId="198" xfId="46" applyNumberFormat="1" applyFont="1" applyFill="1" applyBorder="1" applyAlignment="1" applyProtection="1">
      <alignment horizontal="center" vertical="center"/>
      <protection/>
    </xf>
    <xf numFmtId="165" fontId="8" fillId="0" borderId="198" xfId="46" applyNumberFormat="1" applyFont="1" applyFill="1" applyBorder="1" applyAlignment="1" applyProtection="1">
      <alignment horizontal="center" vertical="center"/>
      <protection/>
    </xf>
    <xf numFmtId="165" fontId="8" fillId="0" borderId="190" xfId="46" applyNumberFormat="1" applyFont="1" applyFill="1" applyBorder="1" applyAlignment="1" applyProtection="1">
      <alignment horizontal="center" vertical="center"/>
      <protection/>
    </xf>
    <xf numFmtId="165" fontId="8" fillId="0" borderId="138" xfId="46" applyNumberFormat="1" applyFont="1" applyFill="1" applyBorder="1" applyAlignment="1" applyProtection="1">
      <alignment horizontal="center" vertical="center"/>
      <protection/>
    </xf>
    <xf numFmtId="165" fontId="2" fillId="0" borderId="199" xfId="46" applyNumberFormat="1" applyFont="1" applyFill="1" applyBorder="1" applyAlignment="1" applyProtection="1">
      <alignment horizontal="center" vertical="center"/>
      <protection/>
    </xf>
    <xf numFmtId="165" fontId="2" fillId="0" borderId="38" xfId="46" applyNumberFormat="1" applyFont="1" applyFill="1" applyBorder="1" applyAlignment="1" applyProtection="1">
      <alignment horizontal="center" vertical="center"/>
      <protection/>
    </xf>
    <xf numFmtId="165" fontId="8" fillId="0" borderId="38" xfId="46" applyNumberFormat="1" applyFont="1" applyFill="1" applyBorder="1" applyAlignment="1" applyProtection="1">
      <alignment horizontal="center" vertical="center"/>
      <protection/>
    </xf>
    <xf numFmtId="165" fontId="8" fillId="0" borderId="0" xfId="46" applyNumberFormat="1" applyFont="1" applyFill="1" applyBorder="1" applyAlignment="1" applyProtection="1">
      <alignment horizontal="center" vertical="center"/>
      <protection/>
    </xf>
    <xf numFmtId="165" fontId="8" fillId="0" borderId="200" xfId="46" applyNumberFormat="1" applyFont="1" applyFill="1" applyBorder="1" applyAlignment="1" applyProtection="1">
      <alignment horizontal="center" vertical="center"/>
      <protection/>
    </xf>
    <xf numFmtId="165" fontId="2" fillId="0" borderId="35" xfId="46" applyNumberFormat="1" applyFont="1" applyFill="1" applyBorder="1" applyAlignment="1" applyProtection="1">
      <alignment horizontal="center" vertical="center"/>
      <protection/>
    </xf>
    <xf numFmtId="165" fontId="2" fillId="33" borderId="187" xfId="46" applyNumberFormat="1" applyFont="1" applyFill="1" applyBorder="1" applyAlignment="1" applyProtection="1">
      <alignment horizontal="center" vertical="center"/>
      <protection/>
    </xf>
    <xf numFmtId="165" fontId="2" fillId="0" borderId="135" xfId="46" applyNumberFormat="1" applyFont="1" applyFill="1" applyBorder="1" applyAlignment="1" applyProtection="1">
      <alignment horizontal="center" vertical="center"/>
      <protection/>
    </xf>
    <xf numFmtId="0" fontId="6" fillId="0" borderId="201" xfId="0" applyFont="1" applyBorder="1" applyAlignment="1">
      <alignment horizontal="right"/>
    </xf>
    <xf numFmtId="0" fontId="6" fillId="40" borderId="183" xfId="0" applyFont="1" applyFill="1" applyBorder="1" applyAlignment="1">
      <alignment horizontal="left" vertical="top" wrapText="1"/>
    </xf>
    <xf numFmtId="165" fontId="6" fillId="40" borderId="183" xfId="46" applyNumberFormat="1" applyFont="1" applyFill="1" applyBorder="1" applyAlignment="1">
      <alignment horizontal="center" vertical="center" wrapText="1"/>
    </xf>
    <xf numFmtId="165" fontId="6" fillId="0" borderId="183" xfId="46" applyNumberFormat="1" applyFont="1" applyBorder="1" applyAlignment="1">
      <alignment horizontal="center" vertical="center"/>
    </xf>
    <xf numFmtId="165" fontId="6" fillId="0" borderId="194" xfId="46" applyNumberFormat="1" applyFont="1" applyBorder="1" applyAlignment="1">
      <alignment horizontal="center" vertical="center"/>
    </xf>
    <xf numFmtId="165" fontId="6" fillId="0" borderId="58" xfId="46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right"/>
    </xf>
    <xf numFmtId="165" fontId="0" fillId="40" borderId="67" xfId="46" applyNumberFormat="1" applyFont="1" applyFill="1" applyBorder="1" applyAlignment="1">
      <alignment horizontal="center" vertical="center" wrapText="1"/>
    </xf>
    <xf numFmtId="165" fontId="0" fillId="0" borderId="67" xfId="46" applyNumberFormat="1" applyFont="1" applyBorder="1" applyAlignment="1">
      <alignment horizontal="center" vertical="center"/>
    </xf>
    <xf numFmtId="165" fontId="65" fillId="36" borderId="23" xfId="46" applyNumberFormat="1" applyFont="1" applyFill="1" applyBorder="1" applyAlignment="1" applyProtection="1">
      <alignment vertical="center"/>
      <protection/>
    </xf>
    <xf numFmtId="165" fontId="0" fillId="36" borderId="34" xfId="46" applyNumberFormat="1" applyFill="1" applyBorder="1" applyAlignment="1" applyProtection="1">
      <alignment vertical="center"/>
      <protection/>
    </xf>
    <xf numFmtId="0" fontId="0" fillId="40" borderId="68" xfId="0" applyFill="1" applyBorder="1" applyAlignment="1">
      <alignment/>
    </xf>
    <xf numFmtId="3" fontId="81" fillId="0" borderId="29" xfId="0" applyNumberFormat="1" applyFont="1" applyFill="1" applyBorder="1" applyAlignment="1">
      <alignment horizontal="right"/>
    </xf>
    <xf numFmtId="165" fontId="81" fillId="0" borderId="14" xfId="46" applyNumberFormat="1" applyFont="1" applyFill="1" applyBorder="1" applyAlignment="1" applyProtection="1">
      <alignment/>
      <protection/>
    </xf>
    <xf numFmtId="3" fontId="81" fillId="0" borderId="12" xfId="0" applyNumberFormat="1" applyFont="1" applyFill="1" applyBorder="1" applyAlignment="1">
      <alignment/>
    </xf>
    <xf numFmtId="165" fontId="0" fillId="0" borderId="34" xfId="46" applyNumberFormat="1" applyFill="1" applyBorder="1" applyAlignment="1" applyProtection="1">
      <alignment/>
      <protection/>
    </xf>
    <xf numFmtId="3" fontId="0" fillId="0" borderId="58" xfId="0" applyNumberFormat="1" applyFont="1" applyFill="1" applyBorder="1" applyAlignment="1">
      <alignment wrapText="1"/>
    </xf>
    <xf numFmtId="3" fontId="0" fillId="0" borderId="58" xfId="0" applyNumberFormat="1" applyFont="1" applyFill="1" applyBorder="1" applyAlignment="1">
      <alignment horizontal="left" wrapText="1"/>
    </xf>
    <xf numFmtId="3" fontId="0" fillId="0" borderId="58" xfId="0" applyNumberFormat="1" applyFont="1" applyFill="1" applyBorder="1" applyAlignment="1">
      <alignment/>
    </xf>
    <xf numFmtId="3" fontId="85" fillId="40" borderId="12" xfId="0" applyNumberFormat="1" applyFont="1" applyFill="1" applyBorder="1" applyAlignment="1">
      <alignment/>
    </xf>
    <xf numFmtId="3" fontId="87" fillId="40" borderId="12" xfId="0" applyNumberFormat="1" applyFont="1" applyFill="1" applyBorder="1" applyAlignment="1">
      <alignment/>
    </xf>
    <xf numFmtId="3" fontId="19" fillId="0" borderId="130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left" vertical="center" wrapText="1"/>
    </xf>
    <xf numFmtId="3" fontId="0" fillId="0" borderId="31" xfId="0" applyNumberFormat="1" applyFont="1" applyBorder="1" applyAlignment="1">
      <alignment horizontal="left" vertical="center" wrapText="1"/>
    </xf>
    <xf numFmtId="165" fontId="19" fillId="40" borderId="12" xfId="46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>
      <alignment vertical="center" wrapText="1"/>
    </xf>
    <xf numFmtId="3" fontId="85" fillId="33" borderId="14" xfId="0" applyNumberFormat="1" applyFont="1" applyFill="1" applyBorder="1" applyAlignment="1">
      <alignment/>
    </xf>
    <xf numFmtId="3" fontId="85" fillId="33" borderId="12" xfId="0" applyNumberFormat="1" applyFont="1" applyFill="1" applyBorder="1" applyAlignment="1">
      <alignment/>
    </xf>
    <xf numFmtId="3" fontId="85" fillId="33" borderId="58" xfId="0" applyNumberFormat="1" applyFont="1" applyFill="1" applyBorder="1" applyAlignment="1">
      <alignment/>
    </xf>
    <xf numFmtId="165" fontId="2" fillId="33" borderId="104" xfId="46" applyNumberFormat="1" applyFont="1" applyFill="1" applyBorder="1" applyAlignment="1" applyProtection="1">
      <alignment horizontal="center" vertical="center" wrapText="1"/>
      <protection/>
    </xf>
    <xf numFmtId="9" fontId="2" fillId="33" borderId="188" xfId="64" applyFont="1" applyFill="1" applyBorder="1" applyAlignment="1" applyProtection="1">
      <alignment horizontal="center" vertical="center" wrapText="1"/>
      <protection/>
    </xf>
    <xf numFmtId="165" fontId="2" fillId="33" borderId="89" xfId="46" applyNumberFormat="1" applyFont="1" applyFill="1" applyBorder="1" applyAlignment="1" applyProtection="1">
      <alignment horizontal="center"/>
      <protection/>
    </xf>
    <xf numFmtId="9" fontId="2" fillId="33" borderId="115" xfId="64" applyFont="1" applyFill="1" applyBorder="1" applyAlignment="1" applyProtection="1">
      <alignment horizontal="center"/>
      <protection/>
    </xf>
    <xf numFmtId="165" fontId="8" fillId="40" borderId="58" xfId="46" applyNumberFormat="1" applyFont="1" applyFill="1" applyBorder="1" applyAlignment="1" applyProtection="1">
      <alignment/>
      <protection/>
    </xf>
    <xf numFmtId="165" fontId="6" fillId="40" borderId="153" xfId="46" applyNumberFormat="1" applyFont="1" applyFill="1" applyBorder="1" applyAlignment="1" applyProtection="1">
      <alignment/>
      <protection/>
    </xf>
    <xf numFmtId="165" fontId="2" fillId="49" borderId="86" xfId="46" applyNumberFormat="1" applyFont="1" applyFill="1" applyBorder="1" applyAlignment="1" applyProtection="1">
      <alignment/>
      <protection/>
    </xf>
    <xf numFmtId="165" fontId="2" fillId="49" borderId="58" xfId="46" applyNumberFormat="1" applyFont="1" applyFill="1" applyBorder="1" applyAlignment="1" applyProtection="1">
      <alignment/>
      <protection/>
    </xf>
    <xf numFmtId="165" fontId="8" fillId="49" borderId="58" xfId="46" applyNumberFormat="1" applyFont="1" applyFill="1" applyBorder="1" applyAlignment="1" applyProtection="1">
      <alignment/>
      <protection/>
    </xf>
    <xf numFmtId="165" fontId="2" fillId="40" borderId="146" xfId="46" applyNumberFormat="1" applyFont="1" applyFill="1" applyBorder="1" applyAlignment="1" applyProtection="1">
      <alignment/>
      <protection/>
    </xf>
    <xf numFmtId="3" fontId="33" fillId="0" borderId="201" xfId="0" applyNumberFormat="1" applyFont="1" applyBorder="1" applyAlignment="1">
      <alignment horizontal="center"/>
    </xf>
    <xf numFmtId="3" fontId="33" fillId="0" borderId="195" xfId="0" applyNumberFormat="1" applyFont="1" applyBorder="1" applyAlignment="1">
      <alignment horizontal="center"/>
    </xf>
    <xf numFmtId="3" fontId="33" fillId="0" borderId="196" xfId="0" applyNumberFormat="1" applyFont="1" applyBorder="1" applyAlignment="1">
      <alignment/>
    </xf>
    <xf numFmtId="3" fontId="33" fillId="0" borderId="43" xfId="0" applyNumberFormat="1" applyFont="1" applyBorder="1" applyAlignment="1">
      <alignment/>
    </xf>
    <xf numFmtId="3" fontId="33" fillId="0" borderId="175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165" fontId="5" fillId="39" borderId="202" xfId="46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5" fillId="39" borderId="12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/>
    </xf>
    <xf numFmtId="0" fontId="5" fillId="39" borderId="12" xfId="0" applyFont="1" applyFill="1" applyBorder="1" applyAlignment="1">
      <alignment wrapText="1"/>
    </xf>
    <xf numFmtId="165" fontId="5" fillId="39" borderId="12" xfId="46" applyNumberFormat="1" applyFont="1" applyFill="1" applyBorder="1" applyAlignment="1" applyProtection="1">
      <alignment/>
      <protection/>
    </xf>
    <xf numFmtId="168" fontId="0" fillId="0" borderId="12" xfId="0" applyNumberFormat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wrapText="1"/>
    </xf>
    <xf numFmtId="165" fontId="0" fillId="36" borderId="0" xfId="46" applyNumberForma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2" xfId="0" applyFont="1" applyBorder="1" applyAlignment="1">
      <alignment/>
    </xf>
    <xf numFmtId="168" fontId="85" fillId="0" borderId="12" xfId="0" applyNumberFormat="1" applyFont="1" applyBorder="1" applyAlignment="1">
      <alignment/>
    </xf>
    <xf numFmtId="3" fontId="85" fillId="0" borderId="12" xfId="0" applyNumberFormat="1" applyFont="1" applyBorder="1" applyAlignment="1">
      <alignment/>
    </xf>
    <xf numFmtId="165" fontId="85" fillId="0" borderId="12" xfId="46" applyNumberFormat="1" applyFont="1" applyFill="1" applyBorder="1" applyAlignment="1" applyProtection="1">
      <alignment/>
      <protection/>
    </xf>
    <xf numFmtId="165" fontId="85" fillId="0" borderId="12" xfId="46" applyNumberFormat="1" applyFont="1" applyFill="1" applyBorder="1" applyAlignment="1" applyProtection="1">
      <alignment horizontal="right"/>
      <protection/>
    </xf>
    <xf numFmtId="165" fontId="85" fillId="40" borderId="58" xfId="46" applyNumberFormat="1" applyFont="1" applyFill="1" applyBorder="1" applyAlignment="1" applyProtection="1">
      <alignment/>
      <protection/>
    </xf>
    <xf numFmtId="3" fontId="85" fillId="40" borderId="58" xfId="0" applyNumberFormat="1" applyFont="1" applyFill="1" applyBorder="1" applyAlignment="1">
      <alignment/>
    </xf>
    <xf numFmtId="3" fontId="0" fillId="49" borderId="58" xfId="0" applyNumberFormat="1" applyFont="1" applyFill="1" applyBorder="1" applyAlignment="1">
      <alignment/>
    </xf>
    <xf numFmtId="3" fontId="0" fillId="40" borderId="58" xfId="0" applyNumberFormat="1" applyFont="1" applyFill="1" applyBorder="1" applyAlignment="1">
      <alignment/>
    </xf>
    <xf numFmtId="165" fontId="0" fillId="40" borderId="58" xfId="46" applyNumberFormat="1" applyFont="1" applyFill="1" applyBorder="1" applyAlignment="1" applyProtection="1">
      <alignment/>
      <protection/>
    </xf>
    <xf numFmtId="0" fontId="0" fillId="40" borderId="58" xfId="0" applyFont="1" applyFill="1" applyBorder="1" applyAlignment="1">
      <alignment/>
    </xf>
    <xf numFmtId="165" fontId="0" fillId="40" borderId="58" xfId="46" applyNumberFormat="1" applyFont="1" applyFill="1" applyBorder="1" applyAlignment="1">
      <alignment/>
    </xf>
    <xf numFmtId="166" fontId="11" fillId="0" borderId="0" xfId="59" applyFont="1" applyFill="1" applyBorder="1" applyAlignment="1" applyProtection="1">
      <alignment horizontal="center"/>
      <protection/>
    </xf>
    <xf numFmtId="3" fontId="18" fillId="0" borderId="0" xfId="0" applyNumberFormat="1" applyFont="1" applyFill="1" applyBorder="1" applyAlignment="1">
      <alignment horizontal="center" vertical="center"/>
    </xf>
    <xf numFmtId="3" fontId="2" fillId="40" borderId="0" xfId="0" applyNumberFormat="1" applyFont="1" applyFill="1" applyBorder="1" applyAlignment="1">
      <alignment horizontal="center" vertical="center"/>
    </xf>
    <xf numFmtId="3" fontId="0" fillId="40" borderId="0" xfId="0" applyNumberFormat="1" applyFont="1" applyFill="1" applyBorder="1" applyAlignment="1">
      <alignment horizontal="center"/>
    </xf>
    <xf numFmtId="3" fontId="87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2" fillId="33" borderId="49" xfId="0" applyNumberFormat="1" applyFont="1" applyFill="1" applyBorder="1" applyAlignment="1">
      <alignment horizontal="center" vertical="center" wrapText="1"/>
    </xf>
    <xf numFmtId="3" fontId="6" fillId="36" borderId="152" xfId="0" applyNumberFormat="1" applyFont="1" applyFill="1" applyBorder="1" applyAlignment="1">
      <alignment horizontal="center" vertical="center"/>
    </xf>
    <xf numFmtId="3" fontId="6" fillId="0" borderId="113" xfId="0" applyNumberFormat="1" applyFont="1" applyFill="1" applyBorder="1" applyAlignment="1">
      <alignment horizontal="center" vertical="center"/>
    </xf>
    <xf numFmtId="3" fontId="6" fillId="0" borderId="58" xfId="0" applyNumberFormat="1" applyFont="1" applyFill="1" applyBorder="1" applyAlignment="1">
      <alignment horizontal="center" vertical="center"/>
    </xf>
    <xf numFmtId="3" fontId="5" fillId="37" borderId="203" xfId="0" applyNumberFormat="1" applyFont="1" applyFill="1" applyBorder="1" applyAlignment="1">
      <alignment horizontal="center" vertical="center"/>
    </xf>
    <xf numFmtId="3" fontId="5" fillId="37" borderId="204" xfId="0" applyNumberFormat="1" applyFont="1" applyFill="1" applyBorder="1" applyAlignment="1">
      <alignment horizontal="center" vertical="center"/>
    </xf>
    <xf numFmtId="3" fontId="2" fillId="33" borderId="205" xfId="0" applyNumberFormat="1" applyFont="1" applyFill="1" applyBorder="1" applyAlignment="1">
      <alignment horizontal="center" vertical="center" wrapText="1"/>
    </xf>
    <xf numFmtId="3" fontId="2" fillId="33" borderId="206" xfId="0" applyNumberFormat="1" applyFont="1" applyFill="1" applyBorder="1" applyAlignment="1">
      <alignment horizontal="center" vertical="center" wrapText="1"/>
    </xf>
    <xf numFmtId="3" fontId="2" fillId="33" borderId="176" xfId="0" applyNumberFormat="1" applyFont="1" applyFill="1" applyBorder="1" applyAlignment="1">
      <alignment horizontal="center" vertical="center" wrapText="1"/>
    </xf>
    <xf numFmtId="3" fontId="2" fillId="33" borderId="207" xfId="0" applyNumberFormat="1" applyFont="1" applyFill="1" applyBorder="1" applyAlignment="1">
      <alignment horizontal="center" vertical="center" wrapText="1"/>
    </xf>
    <xf numFmtId="166" fontId="7" fillId="0" borderId="0" xfId="59" applyFont="1" applyFill="1" applyBorder="1" applyAlignment="1" applyProtection="1">
      <alignment horizontal="center" vertical="center"/>
      <protection/>
    </xf>
    <xf numFmtId="3" fontId="0" fillId="0" borderId="208" xfId="0" applyNumberFormat="1" applyFont="1" applyFill="1" applyBorder="1" applyAlignment="1">
      <alignment horizontal="right" vertical="center" wrapText="1"/>
    </xf>
    <xf numFmtId="3" fontId="2" fillId="37" borderId="60" xfId="0" applyNumberFormat="1" applyFont="1" applyFill="1" applyBorder="1" applyAlignment="1">
      <alignment horizontal="center" vertical="center" wrapText="1"/>
    </xf>
    <xf numFmtId="3" fontId="2" fillId="37" borderId="16" xfId="0" applyNumberFormat="1" applyFont="1" applyFill="1" applyBorder="1" applyAlignment="1">
      <alignment horizontal="center" vertical="center" wrapText="1"/>
    </xf>
    <xf numFmtId="166" fontId="11" fillId="0" borderId="0" xfId="59" applyFont="1" applyFill="1" applyBorder="1" applyAlignment="1" applyProtection="1">
      <alignment horizontal="center" vertical="center" wrapText="1"/>
      <protection/>
    </xf>
    <xf numFmtId="0" fontId="0" fillId="0" borderId="208" xfId="0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166" fontId="6" fillId="0" borderId="0" xfId="59" applyFont="1" applyFill="1" applyBorder="1" applyAlignment="1" applyProtection="1">
      <alignment horizontal="right" vertical="center"/>
      <protection/>
    </xf>
    <xf numFmtId="3" fontId="0" fillId="37" borderId="209" xfId="0" applyNumberFormat="1" applyFont="1" applyFill="1" applyBorder="1" applyAlignment="1">
      <alignment horizontal="center" vertical="center" wrapText="1"/>
    </xf>
    <xf numFmtId="3" fontId="0" fillId="37" borderId="63" xfId="0" applyNumberFormat="1" applyFont="1" applyFill="1" applyBorder="1" applyAlignment="1">
      <alignment horizontal="center" vertical="center" wrapText="1"/>
    </xf>
    <xf numFmtId="3" fontId="2" fillId="37" borderId="143" xfId="0" applyNumberFormat="1" applyFont="1" applyFill="1" applyBorder="1" applyAlignment="1">
      <alignment horizontal="center" vertical="center" wrapText="1"/>
    </xf>
    <xf numFmtId="3" fontId="2" fillId="37" borderId="124" xfId="0" applyNumberFormat="1" applyFont="1" applyFill="1" applyBorder="1" applyAlignment="1">
      <alignment horizontal="center" vertical="center" wrapText="1"/>
    </xf>
    <xf numFmtId="3" fontId="2" fillId="37" borderId="13" xfId="0" applyNumberFormat="1" applyFont="1" applyFill="1" applyBorder="1" applyAlignment="1">
      <alignment horizontal="center" vertical="center" wrapText="1"/>
    </xf>
    <xf numFmtId="0" fontId="5" fillId="37" borderId="81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3" fontId="2" fillId="33" borderId="143" xfId="0" applyNumberFormat="1" applyFont="1" applyFill="1" applyBorder="1" applyAlignment="1">
      <alignment horizontal="center" vertical="center" wrapText="1"/>
    </xf>
    <xf numFmtId="3" fontId="2" fillId="33" borderId="60" xfId="0" applyNumberFormat="1" applyFont="1" applyFill="1" applyBorder="1" applyAlignment="1">
      <alignment horizontal="center" vertical="center" wrapText="1"/>
    </xf>
    <xf numFmtId="3" fontId="2" fillId="33" borderId="125" xfId="0" applyNumberFormat="1" applyFont="1" applyFill="1" applyBorder="1" applyAlignment="1">
      <alignment horizontal="center" vertical="center" wrapText="1"/>
    </xf>
    <xf numFmtId="3" fontId="2" fillId="33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0" borderId="208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center" vertical="center" wrapText="1"/>
    </xf>
    <xf numFmtId="166" fontId="11" fillId="0" borderId="0" xfId="59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3" fontId="4" fillId="44" borderId="160" xfId="0" applyNumberFormat="1" applyFont="1" applyFill="1" applyBorder="1" applyAlignment="1">
      <alignment horizontal="center" vertical="center" wrapText="1"/>
    </xf>
    <xf numFmtId="3" fontId="4" fillId="44" borderId="150" xfId="0" applyNumberFormat="1" applyFont="1" applyFill="1" applyBorder="1" applyAlignment="1">
      <alignment horizontal="center" vertical="center" wrapText="1"/>
    </xf>
    <xf numFmtId="3" fontId="4" fillId="44" borderId="145" xfId="0" applyNumberFormat="1" applyFont="1" applyFill="1" applyBorder="1" applyAlignment="1">
      <alignment horizontal="center" vertical="center" wrapText="1"/>
    </xf>
    <xf numFmtId="3" fontId="4" fillId="44" borderId="14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11" fillId="0" borderId="0" xfId="59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66" fontId="44" fillId="0" borderId="0" xfId="59" applyFont="1" applyFill="1" applyBorder="1" applyAlignment="1" applyProtection="1">
      <alignment horizontal="center"/>
      <protection/>
    </xf>
    <xf numFmtId="3" fontId="4" fillId="33" borderId="210" xfId="0" applyNumberFormat="1" applyFont="1" applyFill="1" applyBorder="1" applyAlignment="1">
      <alignment horizontal="center" vertical="center" wrapText="1"/>
    </xf>
    <xf numFmtId="3" fontId="4" fillId="33" borderId="74" xfId="0" applyNumberFormat="1" applyFont="1" applyFill="1" applyBorder="1" applyAlignment="1">
      <alignment horizontal="center" vertical="center" wrapText="1"/>
    </xf>
    <xf numFmtId="3" fontId="4" fillId="33" borderId="209" xfId="0" applyNumberFormat="1" applyFont="1" applyFill="1" applyBorder="1" applyAlignment="1">
      <alignment horizontal="center" vertical="center" wrapText="1"/>
    </xf>
    <xf numFmtId="3" fontId="4" fillId="33" borderId="63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3" fontId="7" fillId="0" borderId="211" xfId="0" applyNumberFormat="1" applyFont="1" applyFill="1" applyBorder="1" applyAlignment="1">
      <alignment horizontal="left" vertical="center" wrapText="1"/>
    </xf>
    <xf numFmtId="3" fontId="17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3" fontId="2" fillId="33" borderId="82" xfId="0" applyNumberFormat="1" applyFont="1" applyFill="1" applyBorder="1" applyAlignment="1">
      <alignment horizontal="center" vertical="center" wrapText="1"/>
    </xf>
    <xf numFmtId="3" fontId="2" fillId="33" borderId="81" xfId="0" applyNumberFormat="1" applyFont="1" applyFill="1" applyBorder="1" applyAlignment="1">
      <alignment horizontal="center" vertical="center" wrapText="1"/>
    </xf>
    <xf numFmtId="3" fontId="2" fillId="33" borderId="85" xfId="0" applyNumberFormat="1" applyFont="1" applyFill="1" applyBorder="1" applyAlignment="1">
      <alignment horizontal="center" vertical="center" wrapText="1"/>
    </xf>
    <xf numFmtId="3" fontId="2" fillId="33" borderId="76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left" vertical="center" wrapText="1"/>
    </xf>
    <xf numFmtId="3" fontId="7" fillId="0" borderId="212" xfId="0" applyNumberFormat="1" applyFont="1" applyFill="1" applyBorder="1" applyAlignment="1">
      <alignment horizontal="left" vertical="center"/>
    </xf>
    <xf numFmtId="165" fontId="0" fillId="0" borderId="208" xfId="46" applyNumberFormat="1" applyFont="1" applyFill="1" applyBorder="1" applyAlignment="1" applyProtection="1">
      <alignment horizontal="right"/>
      <protection/>
    </xf>
    <xf numFmtId="3" fontId="0" fillId="40" borderId="0" xfId="0" applyNumberFormat="1" applyFill="1" applyBorder="1" applyAlignment="1">
      <alignment horizontal="center"/>
    </xf>
    <xf numFmtId="3" fontId="0" fillId="40" borderId="0" xfId="0" applyNumberFormat="1" applyFont="1" applyFill="1" applyBorder="1" applyAlignment="1">
      <alignment horizontal="center"/>
    </xf>
    <xf numFmtId="3" fontId="2" fillId="43" borderId="19" xfId="0" applyNumberFormat="1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3" fontId="2" fillId="40" borderId="0" xfId="0" applyNumberFormat="1" applyFont="1" applyFill="1" applyBorder="1" applyAlignment="1">
      <alignment horizontal="center" vertical="center"/>
    </xf>
    <xf numFmtId="3" fontId="2" fillId="42" borderId="12" xfId="0" applyNumberFormat="1" applyFont="1" applyFill="1" applyBorder="1" applyAlignment="1">
      <alignment horizontal="center" vertical="center" wrapText="1"/>
    </xf>
    <xf numFmtId="3" fontId="2" fillId="42" borderId="11" xfId="0" applyNumberFormat="1" applyFont="1" applyFill="1" applyBorder="1" applyAlignment="1">
      <alignment horizontal="center" vertical="center" wrapText="1"/>
    </xf>
    <xf numFmtId="0" fontId="2" fillId="43" borderId="49" xfId="0" applyFont="1" applyFill="1" applyBorder="1" applyAlignment="1">
      <alignment horizontal="center" vertical="center" wrapText="1"/>
    </xf>
    <xf numFmtId="3" fontId="4" fillId="42" borderId="58" xfId="0" applyNumberFormat="1" applyFont="1" applyFill="1" applyBorder="1" applyAlignment="1">
      <alignment horizontal="center" vertical="center" wrapText="1"/>
    </xf>
    <xf numFmtId="3" fontId="2" fillId="42" borderId="58" xfId="0" applyNumberFormat="1" applyFont="1" applyFill="1" applyBorder="1" applyAlignment="1">
      <alignment horizontal="center" vertical="center" wrapText="1"/>
    </xf>
    <xf numFmtId="0" fontId="0" fillId="40" borderId="45" xfId="0" applyFont="1" applyFill="1" applyBorder="1" applyAlignment="1">
      <alignment horizontal="right" vertical="center"/>
    </xf>
    <xf numFmtId="0" fontId="6" fillId="40" borderId="0" xfId="0" applyFont="1" applyFill="1" applyBorder="1" applyAlignment="1">
      <alignment horizontal="right"/>
    </xf>
    <xf numFmtId="3" fontId="0" fillId="40" borderId="0" xfId="0" applyNumberFormat="1" applyFont="1" applyFill="1" applyBorder="1" applyAlignment="1">
      <alignment horizontal="right" vertical="center"/>
    </xf>
    <xf numFmtId="0" fontId="2" fillId="43" borderId="18" xfId="0" applyFont="1" applyFill="1" applyBorder="1" applyAlignment="1">
      <alignment horizontal="center" vertical="center"/>
    </xf>
    <xf numFmtId="3" fontId="2" fillId="43" borderId="18" xfId="0" applyNumberFormat="1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/>
    </xf>
    <xf numFmtId="166" fontId="6" fillId="40" borderId="0" xfId="59" applyFont="1" applyFill="1" applyBorder="1" applyAlignment="1" applyProtection="1">
      <alignment horizontal="right" vertical="center"/>
      <protection/>
    </xf>
    <xf numFmtId="0" fontId="6" fillId="40" borderId="0" xfId="0" applyFont="1" applyFill="1" applyBorder="1" applyAlignment="1">
      <alignment horizontal="right" vertical="center"/>
    </xf>
    <xf numFmtId="3" fontId="0" fillId="40" borderId="213" xfId="0" applyNumberFormat="1" applyFont="1" applyFill="1" applyBorder="1" applyAlignment="1">
      <alignment horizontal="right" vertical="center" wrapText="1"/>
    </xf>
    <xf numFmtId="3" fontId="15" fillId="40" borderId="0" xfId="0" applyNumberFormat="1" applyFont="1" applyFill="1" applyBorder="1" applyAlignment="1">
      <alignment horizontal="center" vertical="center" wrapText="1"/>
    </xf>
    <xf numFmtId="0" fontId="88" fillId="0" borderId="58" xfId="0" applyFont="1" applyFill="1" applyBorder="1" applyAlignment="1">
      <alignment horizontal="center" vertical="center" wrapText="1"/>
    </xf>
    <xf numFmtId="166" fontId="86" fillId="0" borderId="0" xfId="59" applyFont="1" applyFill="1" applyBorder="1" applyAlignment="1" applyProtection="1">
      <alignment horizontal="center"/>
      <protection/>
    </xf>
    <xf numFmtId="166" fontId="91" fillId="0" borderId="0" xfId="59" applyFont="1" applyFill="1" applyBorder="1" applyAlignment="1" applyProtection="1">
      <alignment horizontal="right" vertical="center"/>
      <protection/>
    </xf>
    <xf numFmtId="3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/>
    </xf>
    <xf numFmtId="0" fontId="85" fillId="0" borderId="0" xfId="0" applyFont="1" applyBorder="1" applyAlignment="1">
      <alignment horizontal="right" vertical="center"/>
    </xf>
    <xf numFmtId="0" fontId="85" fillId="0" borderId="0" xfId="0" applyFont="1" applyBorder="1" applyAlignment="1">
      <alignment horizontal="right"/>
    </xf>
    <xf numFmtId="166" fontId="7" fillId="0" borderId="0" xfId="59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85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3" fillId="0" borderId="21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66" fontId="6" fillId="0" borderId="0" xfId="59" applyFont="1" applyFill="1" applyBorder="1" applyAlignment="1" applyProtection="1">
      <alignment horizontal="right" vertical="center"/>
      <protection/>
    </xf>
    <xf numFmtId="0" fontId="0" fillId="0" borderId="45" xfId="0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/>
    </xf>
    <xf numFmtId="3" fontId="2" fillId="37" borderId="82" xfId="0" applyNumberFormat="1" applyFont="1" applyFill="1" applyBorder="1" applyAlignment="1">
      <alignment horizontal="center" vertical="center" wrapText="1"/>
    </xf>
    <xf numFmtId="3" fontId="2" fillId="37" borderId="215" xfId="0" applyNumberFormat="1" applyFont="1" applyFill="1" applyBorder="1" applyAlignment="1">
      <alignment horizontal="center" vertical="center" wrapText="1"/>
    </xf>
    <xf numFmtId="3" fontId="2" fillId="37" borderId="176" xfId="0" applyNumberFormat="1" applyFont="1" applyFill="1" applyBorder="1" applyAlignment="1">
      <alignment horizontal="center" vertical="center" wrapText="1"/>
    </xf>
    <xf numFmtId="3" fontId="2" fillId="37" borderId="207" xfId="0" applyNumberFormat="1" applyFont="1" applyFill="1" applyBorder="1" applyAlignment="1">
      <alignment horizontal="center" vertical="center" wrapText="1"/>
    </xf>
    <xf numFmtId="3" fontId="33" fillId="0" borderId="58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65" fontId="0" fillId="0" borderId="208" xfId="46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2" fillId="0" borderId="156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155" xfId="0" applyFont="1" applyFill="1" applyBorder="1" applyAlignment="1">
      <alignment horizontal="center"/>
    </xf>
    <xf numFmtId="0" fontId="2" fillId="0" borderId="216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3" fontId="2" fillId="0" borderId="86" xfId="0" applyNumberFormat="1" applyFont="1" applyFill="1" applyBorder="1" applyAlignment="1">
      <alignment horizontal="left" vertical="center" wrapText="1"/>
    </xf>
    <xf numFmtId="3" fontId="2" fillId="0" borderId="87" xfId="0" applyNumberFormat="1" applyFont="1" applyFill="1" applyBorder="1" applyAlignment="1">
      <alignment horizontal="left" vertical="center" wrapText="1"/>
    </xf>
    <xf numFmtId="3" fontId="2" fillId="0" borderId="58" xfId="0" applyNumberFormat="1" applyFont="1" applyFill="1" applyBorder="1" applyAlignment="1">
      <alignment horizontal="left"/>
    </xf>
    <xf numFmtId="3" fontId="2" fillId="0" borderId="70" xfId="0" applyNumberFormat="1" applyFont="1" applyFill="1" applyBorder="1" applyAlignment="1">
      <alignment horizontal="center"/>
    </xf>
    <xf numFmtId="3" fontId="2" fillId="0" borderId="71" xfId="0" applyNumberFormat="1" applyFont="1" applyFill="1" applyBorder="1" applyAlignment="1">
      <alignment horizontal="center"/>
    </xf>
    <xf numFmtId="0" fontId="33" fillId="0" borderId="58" xfId="0" applyFont="1" applyFill="1" applyBorder="1" applyAlignment="1">
      <alignment horizontal="center"/>
    </xf>
    <xf numFmtId="3" fontId="33" fillId="0" borderId="58" xfId="0" applyNumberFormat="1" applyFont="1" applyFill="1" applyBorder="1" applyAlignment="1">
      <alignment horizontal="center"/>
    </xf>
    <xf numFmtId="0" fontId="33" fillId="0" borderId="58" xfId="0" applyFont="1" applyFill="1" applyBorder="1" applyAlignment="1">
      <alignment horizontal="left"/>
    </xf>
    <xf numFmtId="0" fontId="33" fillId="0" borderId="156" xfId="0" applyFont="1" applyFill="1" applyBorder="1" applyAlignment="1">
      <alignment horizontal="center"/>
    </xf>
    <xf numFmtId="0" fontId="33" fillId="0" borderId="71" xfId="0" applyFont="1" applyFill="1" applyBorder="1" applyAlignment="1">
      <alignment horizontal="center"/>
    </xf>
    <xf numFmtId="3" fontId="33" fillId="0" borderId="70" xfId="0" applyNumberFormat="1" applyFont="1" applyFill="1" applyBorder="1" applyAlignment="1">
      <alignment horizontal="center"/>
    </xf>
    <xf numFmtId="3" fontId="33" fillId="0" borderId="71" xfId="0" applyNumberFormat="1" applyFont="1" applyFill="1" applyBorder="1" applyAlignment="1">
      <alignment horizontal="center"/>
    </xf>
    <xf numFmtId="3" fontId="6" fillId="36" borderId="69" xfId="0" applyNumberFormat="1" applyFont="1" applyFill="1" applyBorder="1" applyAlignment="1">
      <alignment horizontal="left" vertical="center"/>
    </xf>
    <xf numFmtId="0" fontId="33" fillId="0" borderId="113" xfId="0" applyFont="1" applyFill="1" applyBorder="1" applyAlignment="1">
      <alignment horizontal="center"/>
    </xf>
    <xf numFmtId="0" fontId="6" fillId="0" borderId="12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3" fontId="6" fillId="0" borderId="148" xfId="0" applyNumberFormat="1" applyFont="1" applyFill="1" applyBorder="1" applyAlignment="1">
      <alignment horizontal="left" vertical="center"/>
    </xf>
    <xf numFmtId="3" fontId="6" fillId="0" borderId="169" xfId="0" applyNumberFormat="1" applyFont="1" applyFill="1" applyBorder="1" applyAlignment="1">
      <alignment horizontal="left" vertical="center"/>
    </xf>
    <xf numFmtId="3" fontId="2" fillId="0" borderId="72" xfId="0" applyNumberFormat="1" applyFont="1" applyFill="1" applyBorder="1" applyAlignment="1">
      <alignment horizontal="left"/>
    </xf>
    <xf numFmtId="3" fontId="2" fillId="0" borderId="73" xfId="0" applyNumberFormat="1" applyFont="1" applyFill="1" applyBorder="1" applyAlignment="1">
      <alignment horizontal="left"/>
    </xf>
    <xf numFmtId="3" fontId="13" fillId="0" borderId="70" xfId="0" applyNumberFormat="1" applyFont="1" applyFill="1" applyBorder="1" applyAlignment="1">
      <alignment horizontal="left"/>
    </xf>
    <xf numFmtId="3" fontId="13" fillId="0" borderId="71" xfId="0" applyNumberFormat="1" applyFont="1" applyFill="1" applyBorder="1" applyAlignment="1">
      <alignment horizontal="left"/>
    </xf>
    <xf numFmtId="0" fontId="5" fillId="39" borderId="165" xfId="0" applyFont="1" applyFill="1" applyBorder="1" applyAlignment="1">
      <alignment horizontal="center"/>
    </xf>
    <xf numFmtId="0" fontId="5" fillId="39" borderId="102" xfId="0" applyFont="1" applyFill="1" applyBorder="1" applyAlignment="1">
      <alignment horizontal="center"/>
    </xf>
    <xf numFmtId="3" fontId="5" fillId="39" borderId="102" xfId="0" applyNumberFormat="1" applyFont="1" applyFill="1" applyBorder="1" applyAlignment="1">
      <alignment horizontal="left" vertical="center"/>
    </xf>
    <xf numFmtId="3" fontId="2" fillId="0" borderId="67" xfId="0" applyNumberFormat="1" applyFont="1" applyFill="1" applyBorder="1" applyAlignment="1">
      <alignment horizontal="left"/>
    </xf>
    <xf numFmtId="3" fontId="2" fillId="37" borderId="214" xfId="0" applyNumberFormat="1" applyFont="1" applyFill="1" applyBorder="1" applyAlignment="1">
      <alignment horizontal="center" vertical="center" wrapText="1"/>
    </xf>
    <xf numFmtId="3" fontId="2" fillId="37" borderId="49" xfId="0" applyNumberFormat="1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8" fillId="0" borderId="11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6" fillId="36" borderId="123" xfId="0" applyFont="1" applyFill="1" applyBorder="1" applyAlignment="1">
      <alignment horizontal="center" vertical="center"/>
    </xf>
    <xf numFmtId="0" fontId="6" fillId="36" borderId="6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0" fillId="0" borderId="17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17" xfId="0" applyFont="1" applyBorder="1" applyAlignment="1">
      <alignment horizontal="center"/>
    </xf>
    <xf numFmtId="3" fontId="2" fillId="33" borderId="81" xfId="0" applyNumberFormat="1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37" borderId="203" xfId="0" applyFont="1" applyFill="1" applyBorder="1" applyAlignment="1">
      <alignment horizontal="center"/>
    </xf>
    <xf numFmtId="0" fontId="5" fillId="37" borderId="204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left"/>
    </xf>
    <xf numFmtId="3" fontId="2" fillId="33" borderId="210" xfId="0" applyNumberFormat="1" applyFont="1" applyFill="1" applyBorder="1" applyAlignment="1">
      <alignment horizontal="center" vertical="center" wrapText="1"/>
    </xf>
    <xf numFmtId="3" fontId="2" fillId="33" borderId="218" xfId="0" applyNumberFormat="1" applyFont="1" applyFill="1" applyBorder="1" applyAlignment="1">
      <alignment horizontal="center" vertical="center" wrapText="1"/>
    </xf>
    <xf numFmtId="3" fontId="2" fillId="33" borderId="219" xfId="0" applyNumberFormat="1" applyFont="1" applyFill="1" applyBorder="1" applyAlignment="1">
      <alignment horizontal="center" vertical="center" wrapText="1"/>
    </xf>
    <xf numFmtId="3" fontId="2" fillId="33" borderId="220" xfId="0" applyNumberFormat="1" applyFont="1" applyFill="1" applyBorder="1" applyAlignment="1">
      <alignment horizontal="center" vertical="center" wrapText="1"/>
    </xf>
    <xf numFmtId="3" fontId="2" fillId="33" borderId="214" xfId="0" applyNumberFormat="1" applyFont="1" applyFill="1" applyBorder="1" applyAlignment="1">
      <alignment horizontal="center" vertical="center" wrapText="1"/>
    </xf>
    <xf numFmtId="0" fontId="2" fillId="0" borderId="17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03" xfId="0" applyFont="1" applyBorder="1" applyAlignment="1">
      <alignment horizontal="center"/>
    </xf>
    <xf numFmtId="0" fontId="6" fillId="0" borderId="204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3" fontId="2" fillId="0" borderId="22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horizontal="center" vertical="center"/>
    </xf>
    <xf numFmtId="165" fontId="0" fillId="0" borderId="222" xfId="46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>
      <alignment horizontal="center" vertical="center"/>
    </xf>
    <xf numFmtId="3" fontId="0" fillId="0" borderId="223" xfId="0" applyNumberFormat="1" applyFont="1" applyBorder="1" applyAlignment="1">
      <alignment horizontal="center"/>
    </xf>
    <xf numFmtId="3" fontId="6" fillId="0" borderId="192" xfId="0" applyNumberFormat="1" applyFont="1" applyBorder="1" applyAlignment="1">
      <alignment horizontal="center" vertical="center"/>
    </xf>
    <xf numFmtId="3" fontId="6" fillId="0" borderId="224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left"/>
    </xf>
    <xf numFmtId="3" fontId="8" fillId="0" borderId="225" xfId="0" applyNumberFormat="1" applyFont="1" applyBorder="1" applyAlignment="1">
      <alignment horizontal="center"/>
    </xf>
    <xf numFmtId="3" fontId="8" fillId="0" borderId="226" xfId="0" applyNumberFormat="1" applyFont="1" applyBorder="1" applyAlignment="1">
      <alignment horizontal="center"/>
    </xf>
    <xf numFmtId="3" fontId="8" fillId="0" borderId="227" xfId="0" applyNumberFormat="1" applyFont="1" applyBorder="1" applyAlignment="1">
      <alignment horizontal="center"/>
    </xf>
    <xf numFmtId="3" fontId="8" fillId="0" borderId="228" xfId="0" applyNumberFormat="1" applyFont="1" applyBorder="1" applyAlignment="1">
      <alignment horizontal="center"/>
    </xf>
    <xf numFmtId="3" fontId="8" fillId="0" borderId="58" xfId="0" applyNumberFormat="1" applyFont="1" applyBorder="1" applyAlignment="1">
      <alignment horizontal="center"/>
    </xf>
    <xf numFmtId="3" fontId="8" fillId="0" borderId="229" xfId="0" applyNumberFormat="1" applyFont="1" applyBorder="1" applyAlignment="1">
      <alignment horizontal="center"/>
    </xf>
    <xf numFmtId="3" fontId="8" fillId="0" borderId="230" xfId="0" applyNumberFormat="1" applyFont="1" applyBorder="1" applyAlignment="1">
      <alignment horizontal="center"/>
    </xf>
    <xf numFmtId="3" fontId="8" fillId="0" borderId="70" xfId="0" applyNumberFormat="1" applyFont="1" applyFill="1" applyBorder="1" applyAlignment="1">
      <alignment horizontal="left"/>
    </xf>
    <xf numFmtId="3" fontId="8" fillId="0" borderId="71" xfId="0" applyNumberFormat="1" applyFont="1" applyFill="1" applyBorder="1" applyAlignment="1">
      <alignment horizontal="left"/>
    </xf>
    <xf numFmtId="3" fontId="8" fillId="0" borderId="231" xfId="0" applyNumberFormat="1" applyFont="1" applyFill="1" applyBorder="1" applyAlignment="1">
      <alignment horizontal="left"/>
    </xf>
    <xf numFmtId="3" fontId="8" fillId="0" borderId="232" xfId="0" applyNumberFormat="1" applyFont="1" applyFill="1" applyBorder="1" applyAlignment="1">
      <alignment horizontal="left"/>
    </xf>
    <xf numFmtId="3" fontId="0" fillId="0" borderId="233" xfId="0" applyNumberFormat="1" applyFont="1" applyBorder="1" applyAlignment="1">
      <alignment horizontal="center"/>
    </xf>
    <xf numFmtId="3" fontId="0" fillId="0" borderId="234" xfId="0" applyNumberFormat="1" applyFont="1" applyBorder="1" applyAlignment="1">
      <alignment horizontal="center"/>
    </xf>
    <xf numFmtId="3" fontId="8" fillId="0" borderId="234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left"/>
    </xf>
    <xf numFmtId="3" fontId="8" fillId="0" borderId="223" xfId="0" applyNumberFormat="1" applyFont="1" applyBorder="1" applyAlignment="1">
      <alignment horizontal="center"/>
    </xf>
    <xf numFmtId="3" fontId="8" fillId="0" borderId="23" xfId="0" applyNumberFormat="1" applyFont="1" applyFill="1" applyBorder="1" applyAlignment="1">
      <alignment horizontal="left"/>
    </xf>
    <xf numFmtId="3" fontId="6" fillId="0" borderId="52" xfId="0" applyNumberFormat="1" applyFont="1" applyBorder="1" applyAlignment="1">
      <alignment horizontal="center"/>
    </xf>
    <xf numFmtId="3" fontId="6" fillId="0" borderId="217" xfId="0" applyNumberFormat="1" applyFont="1" applyBorder="1" applyAlignment="1">
      <alignment horizontal="center"/>
    </xf>
    <xf numFmtId="3" fontId="5" fillId="37" borderId="235" xfId="0" applyNumberFormat="1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8" fillId="36" borderId="156" xfId="0" applyFont="1" applyFill="1" applyBorder="1" applyAlignment="1">
      <alignment horizontal="right"/>
    </xf>
    <xf numFmtId="0" fontId="8" fillId="36" borderId="71" xfId="0" applyFont="1" applyFill="1" applyBorder="1" applyAlignment="1">
      <alignment horizontal="right"/>
    </xf>
    <xf numFmtId="0" fontId="8" fillId="0" borderId="236" xfId="0" applyFont="1" applyBorder="1" applyAlignment="1">
      <alignment horizontal="right"/>
    </xf>
    <xf numFmtId="0" fontId="8" fillId="0" borderId="237" xfId="0" applyFont="1" applyBorder="1" applyAlignment="1">
      <alignment horizontal="right"/>
    </xf>
    <xf numFmtId="3" fontId="15" fillId="37" borderId="152" xfId="0" applyNumberFormat="1" applyFont="1" applyFill="1" applyBorder="1" applyAlignment="1">
      <alignment horizontal="center" vertical="center"/>
    </xf>
    <xf numFmtId="3" fontId="0" fillId="0" borderId="82" xfId="0" applyNumberFormat="1" applyFont="1" applyBorder="1" applyAlignment="1">
      <alignment horizontal="center" vertical="center"/>
    </xf>
    <xf numFmtId="3" fontId="0" fillId="0" borderId="215" xfId="0" applyNumberFormat="1" applyFont="1" applyBorder="1" applyAlignment="1">
      <alignment horizontal="center" vertical="center"/>
    </xf>
    <xf numFmtId="3" fontId="0" fillId="0" borderId="170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113" xfId="0" applyNumberFormat="1" applyFon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2" fillId="33" borderId="238" xfId="0" applyNumberFormat="1" applyFont="1" applyFill="1" applyBorder="1" applyAlignment="1">
      <alignment horizontal="center" vertical="center" wrapText="1"/>
    </xf>
    <xf numFmtId="3" fontId="2" fillId="33" borderId="50" xfId="0" applyNumberFormat="1" applyFont="1" applyFill="1" applyBorder="1" applyAlignment="1">
      <alignment horizontal="center" vertical="center" wrapText="1"/>
    </xf>
    <xf numFmtId="3" fontId="6" fillId="0" borderId="69" xfId="0" applyNumberFormat="1" applyFont="1" applyFill="1" applyBorder="1" applyAlignment="1">
      <alignment horizontal="left" vertical="center"/>
    </xf>
    <xf numFmtId="3" fontId="2" fillId="0" borderId="104" xfId="0" applyNumberFormat="1" applyFont="1" applyBorder="1" applyAlignment="1">
      <alignment horizontal="left"/>
    </xf>
    <xf numFmtId="3" fontId="2" fillId="0" borderId="239" xfId="0" applyNumberFormat="1" applyFont="1" applyBorder="1" applyAlignment="1">
      <alignment horizontal="left"/>
    </xf>
    <xf numFmtId="3" fontId="2" fillId="33" borderId="215" xfId="0" applyNumberFormat="1" applyFont="1" applyFill="1" applyBorder="1" applyAlignment="1">
      <alignment horizontal="center" vertical="center" wrapText="1"/>
    </xf>
    <xf numFmtId="3" fontId="13" fillId="0" borderId="146" xfId="0" applyNumberFormat="1" applyFont="1" applyFill="1" applyBorder="1" applyAlignment="1">
      <alignment horizontal="left"/>
    </xf>
    <xf numFmtId="3" fontId="5" fillId="46" borderId="69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/>
    </xf>
    <xf numFmtId="3" fontId="8" fillId="0" borderId="33" xfId="0" applyNumberFormat="1" applyFont="1" applyFill="1" applyBorder="1" applyAlignment="1">
      <alignment horizontal="left"/>
    </xf>
    <xf numFmtId="3" fontId="8" fillId="0" borderId="36" xfId="0" applyNumberFormat="1" applyFont="1" applyFill="1" applyBorder="1" applyAlignment="1">
      <alignment horizontal="left"/>
    </xf>
    <xf numFmtId="3" fontId="8" fillId="0" borderId="34" xfId="0" applyNumberFormat="1" applyFont="1" applyFill="1" applyBorder="1" applyAlignment="1">
      <alignment horizontal="left"/>
    </xf>
    <xf numFmtId="3" fontId="6" fillId="0" borderId="53" xfId="0" applyNumberFormat="1" applyFont="1" applyFill="1" applyBorder="1" applyAlignment="1">
      <alignment horizontal="left" vertical="center"/>
    </xf>
    <xf numFmtId="3" fontId="6" fillId="0" borderId="122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left"/>
    </xf>
    <xf numFmtId="3" fontId="2" fillId="0" borderId="33" xfId="0" applyNumberFormat="1" applyFont="1" applyFill="1" applyBorder="1" applyAlignment="1">
      <alignment horizontal="left"/>
    </xf>
    <xf numFmtId="3" fontId="2" fillId="42" borderId="70" xfId="0" applyNumberFormat="1" applyFont="1" applyFill="1" applyBorder="1" applyAlignment="1">
      <alignment horizontal="left" vertical="center"/>
    </xf>
    <xf numFmtId="3" fontId="2" fillId="42" borderId="71" xfId="0" applyNumberFormat="1" applyFont="1" applyFill="1" applyBorder="1" applyAlignment="1">
      <alignment horizontal="left" vertical="center"/>
    </xf>
    <xf numFmtId="3" fontId="8" fillId="42" borderId="70" xfId="0" applyNumberFormat="1" applyFont="1" applyFill="1" applyBorder="1" applyAlignment="1">
      <alignment horizontal="left" vertical="center"/>
    </xf>
    <xf numFmtId="3" fontId="8" fillId="42" borderId="71" xfId="0" applyNumberFormat="1" applyFont="1" applyFill="1" applyBorder="1" applyAlignment="1">
      <alignment horizontal="left" vertical="center"/>
    </xf>
    <xf numFmtId="3" fontId="2" fillId="33" borderId="240" xfId="0" applyNumberFormat="1" applyFont="1" applyFill="1" applyBorder="1" applyAlignment="1">
      <alignment horizontal="center" vertical="center" wrapText="1"/>
    </xf>
    <xf numFmtId="3" fontId="2" fillId="33" borderId="152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3" fontId="26" fillId="33" borderId="82" xfId="0" applyNumberFormat="1" applyFont="1" applyFill="1" applyBorder="1" applyAlignment="1">
      <alignment horizontal="center" vertical="center" wrapText="1"/>
    </xf>
    <xf numFmtId="3" fontId="26" fillId="33" borderId="81" xfId="0" applyNumberFormat="1" applyFont="1" applyFill="1" applyBorder="1" applyAlignment="1">
      <alignment horizontal="center" vertical="center" wrapText="1"/>
    </xf>
    <xf numFmtId="3" fontId="26" fillId="33" borderId="81" xfId="0" applyNumberFormat="1" applyFont="1" applyFill="1" applyBorder="1" applyAlignment="1">
      <alignment horizontal="center" vertical="center"/>
    </xf>
    <xf numFmtId="3" fontId="19" fillId="0" borderId="208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3" fontId="26" fillId="33" borderId="85" xfId="0" applyNumberFormat="1" applyFont="1" applyFill="1" applyBorder="1" applyAlignment="1">
      <alignment horizontal="center" vertical="center" wrapText="1"/>
    </xf>
    <xf numFmtId="3" fontId="26" fillId="33" borderId="76" xfId="0" applyNumberFormat="1" applyFont="1" applyFill="1" applyBorder="1" applyAlignment="1">
      <alignment horizontal="center" vertical="center" wrapText="1"/>
    </xf>
    <xf numFmtId="3" fontId="26" fillId="33" borderId="76" xfId="0" applyNumberFormat="1" applyFont="1" applyFill="1" applyBorder="1" applyAlignment="1">
      <alignment horizontal="center" vertical="center"/>
    </xf>
    <xf numFmtId="3" fontId="33" fillId="0" borderId="241" xfId="0" applyNumberFormat="1" applyFont="1" applyBorder="1" applyAlignment="1">
      <alignment horizontal="left" wrapText="1"/>
    </xf>
    <xf numFmtId="3" fontId="33" fillId="0" borderId="230" xfId="0" applyNumberFormat="1" applyFont="1" applyBorder="1" applyAlignment="1">
      <alignment horizontal="left" wrapText="1"/>
    </xf>
    <xf numFmtId="3" fontId="33" fillId="0" borderId="242" xfId="0" applyNumberFormat="1" applyFont="1" applyBorder="1" applyAlignment="1">
      <alignment horizontal="left" wrapText="1"/>
    </xf>
    <xf numFmtId="3" fontId="33" fillId="0" borderId="226" xfId="0" applyNumberFormat="1" applyFont="1" applyBorder="1" applyAlignment="1">
      <alignment horizontal="left" wrapText="1"/>
    </xf>
    <xf numFmtId="3" fontId="33" fillId="0" borderId="68" xfId="0" applyNumberFormat="1" applyFont="1" applyBorder="1" applyAlignment="1">
      <alignment horizontal="left" wrapText="1"/>
    </xf>
    <xf numFmtId="3" fontId="0" fillId="0" borderId="243" xfId="0" applyNumberFormat="1" applyFont="1" applyBorder="1" applyAlignment="1">
      <alignment horizontal="left" vertical="center" wrapText="1"/>
    </xf>
    <xf numFmtId="3" fontId="0" fillId="0" borderId="244" xfId="0" applyNumberFormat="1" applyFont="1" applyBorder="1" applyAlignment="1">
      <alignment horizontal="left" vertical="center" wrapText="1"/>
    </xf>
    <xf numFmtId="3" fontId="33" fillId="0" borderId="245" xfId="0" applyNumberFormat="1" applyFont="1" applyBorder="1" applyAlignment="1">
      <alignment horizontal="left" vertical="center"/>
    </xf>
    <xf numFmtId="3" fontId="33" fillId="0" borderId="246" xfId="0" applyNumberFormat="1" applyFont="1" applyBorder="1" applyAlignment="1">
      <alignment horizontal="left" vertical="center"/>
    </xf>
    <xf numFmtId="3" fontId="26" fillId="33" borderId="58" xfId="0" applyNumberFormat="1" applyFont="1" applyFill="1" applyBorder="1" applyAlignment="1">
      <alignment horizontal="center" vertical="center" wrapText="1"/>
    </xf>
    <xf numFmtId="3" fontId="26" fillId="33" borderId="14" xfId="0" applyNumberFormat="1" applyFont="1" applyFill="1" applyBorder="1" applyAlignment="1">
      <alignment horizontal="center" vertical="center" wrapText="1"/>
    </xf>
    <xf numFmtId="3" fontId="2" fillId="0" borderId="247" xfId="0" applyNumberFormat="1" applyFont="1" applyBorder="1" applyAlignment="1">
      <alignment horizontal="left" vertical="center" wrapText="1"/>
    </xf>
    <xf numFmtId="3" fontId="2" fillId="0" borderId="248" xfId="0" applyNumberFormat="1" applyFont="1" applyBorder="1" applyAlignment="1">
      <alignment horizontal="left" vertical="center" wrapText="1"/>
    </xf>
    <xf numFmtId="165" fontId="26" fillId="0" borderId="12" xfId="46" applyNumberFormat="1" applyFont="1" applyFill="1" applyBorder="1" applyAlignment="1" applyProtection="1">
      <alignment horizontal="left" vertical="center" wrapText="1"/>
      <protection/>
    </xf>
    <xf numFmtId="165" fontId="26" fillId="0" borderId="11" xfId="46" applyNumberFormat="1" applyFont="1" applyFill="1" applyBorder="1" applyAlignment="1" applyProtection="1">
      <alignment horizontal="left"/>
      <protection/>
    </xf>
    <xf numFmtId="165" fontId="26" fillId="0" borderId="33" xfId="46" applyNumberFormat="1" applyFont="1" applyFill="1" applyBorder="1" applyAlignment="1" applyProtection="1">
      <alignment horizontal="left"/>
      <protection/>
    </xf>
    <xf numFmtId="165" fontId="26" fillId="0" borderId="12" xfId="46" applyNumberFormat="1" applyFont="1" applyFill="1" applyBorder="1" applyAlignment="1" applyProtection="1">
      <alignment horizontal="left"/>
      <protection/>
    </xf>
    <xf numFmtId="165" fontId="19" fillId="0" borderId="104" xfId="46" applyNumberFormat="1" applyFont="1" applyFill="1" applyBorder="1" applyAlignment="1" applyProtection="1">
      <alignment horizontal="left"/>
      <protection/>
    </xf>
    <xf numFmtId="165" fontId="19" fillId="0" borderId="239" xfId="46" applyNumberFormat="1" applyFont="1" applyFill="1" applyBorder="1" applyAlignment="1" applyProtection="1">
      <alignment horizontal="left"/>
      <protection/>
    </xf>
    <xf numFmtId="3" fontId="33" fillId="0" borderId="242" xfId="0" applyNumberFormat="1" applyFont="1" applyBorder="1" applyAlignment="1">
      <alignment horizontal="left" vertical="center"/>
    </xf>
    <xf numFmtId="3" fontId="33" fillId="0" borderId="226" xfId="0" applyNumberFormat="1" applyFont="1" applyBorder="1" applyAlignment="1">
      <alignment horizontal="left" vertical="center"/>
    </xf>
    <xf numFmtId="165" fontId="19" fillId="0" borderId="58" xfId="46" applyNumberFormat="1" applyFont="1" applyFill="1" applyBorder="1" applyAlignment="1" applyProtection="1">
      <alignment horizontal="left"/>
      <protection/>
    </xf>
    <xf numFmtId="165" fontId="28" fillId="0" borderId="58" xfId="46" applyNumberFormat="1" applyFont="1" applyFill="1" applyBorder="1" applyAlignment="1" applyProtection="1">
      <alignment horizontal="center"/>
      <protection/>
    </xf>
    <xf numFmtId="3" fontId="0" fillId="40" borderId="249" xfId="0" applyNumberFormat="1" applyFont="1" applyFill="1" applyBorder="1" applyAlignment="1">
      <alignment horizontal="left" wrapText="1"/>
    </xf>
    <xf numFmtId="3" fontId="0" fillId="40" borderId="250" xfId="0" applyNumberFormat="1" applyFont="1" applyFill="1" applyBorder="1" applyAlignment="1">
      <alignment horizontal="left" wrapText="1"/>
    </xf>
    <xf numFmtId="3" fontId="33" fillId="0" borderId="249" xfId="0" applyNumberFormat="1" applyFont="1" applyBorder="1" applyAlignment="1">
      <alignment horizontal="left"/>
    </xf>
    <xf numFmtId="3" fontId="33" fillId="0" borderId="250" xfId="0" applyNumberFormat="1" applyFont="1" applyBorder="1" applyAlignment="1">
      <alignment horizontal="left"/>
    </xf>
    <xf numFmtId="3" fontId="33" fillId="0" borderId="249" xfId="0" applyNumberFormat="1" applyFont="1" applyBorder="1" applyAlignment="1">
      <alignment horizontal="center"/>
    </xf>
    <xf numFmtId="3" fontId="33" fillId="0" borderId="250" xfId="0" applyNumberFormat="1" applyFont="1" applyBorder="1" applyAlignment="1">
      <alignment horizontal="center"/>
    </xf>
    <xf numFmtId="3" fontId="33" fillId="0" borderId="242" xfId="0" applyNumberFormat="1" applyFont="1" applyBorder="1" applyAlignment="1">
      <alignment horizontal="left" vertical="center" wrapText="1"/>
    </xf>
    <xf numFmtId="3" fontId="33" fillId="0" borderId="226" xfId="0" applyNumberFormat="1" applyFont="1" applyBorder="1" applyAlignment="1">
      <alignment horizontal="left" vertical="center" wrapText="1"/>
    </xf>
    <xf numFmtId="165" fontId="26" fillId="0" borderId="36" xfId="46" applyNumberFormat="1" applyFont="1" applyFill="1" applyBorder="1" applyAlignment="1" applyProtection="1">
      <alignment horizontal="left"/>
      <protection/>
    </xf>
    <xf numFmtId="165" fontId="26" fillId="0" borderId="34" xfId="46" applyNumberFormat="1" applyFont="1" applyFill="1" applyBorder="1" applyAlignment="1" applyProtection="1">
      <alignment horizontal="left"/>
      <protection/>
    </xf>
    <xf numFmtId="165" fontId="19" fillId="0" borderId="36" xfId="46" applyNumberFormat="1" applyFont="1" applyFill="1" applyBorder="1" applyAlignment="1" applyProtection="1">
      <alignment horizontal="left"/>
      <protection/>
    </xf>
    <xf numFmtId="165" fontId="19" fillId="0" borderId="34" xfId="46" applyNumberFormat="1" applyFont="1" applyFill="1" applyBorder="1" applyAlignment="1" applyProtection="1">
      <alignment horizontal="left"/>
      <protection/>
    </xf>
    <xf numFmtId="3" fontId="33" fillId="0" borderId="247" xfId="0" applyNumberFormat="1" applyFont="1" applyBorder="1" applyAlignment="1">
      <alignment horizontal="left" vertical="center"/>
    </xf>
    <xf numFmtId="3" fontId="33" fillId="0" borderId="248" xfId="0" applyNumberFormat="1" applyFont="1" applyBorder="1" applyAlignment="1">
      <alignment horizontal="left" vertical="center"/>
    </xf>
    <xf numFmtId="165" fontId="26" fillId="0" borderId="11" xfId="46" applyNumberFormat="1" applyFont="1" applyFill="1" applyBorder="1" applyAlignment="1" applyProtection="1">
      <alignment horizontal="left" vertical="center" wrapText="1"/>
      <protection/>
    </xf>
    <xf numFmtId="165" fontId="26" fillId="0" borderId="33" xfId="46" applyNumberFormat="1" applyFont="1" applyFill="1" applyBorder="1" applyAlignment="1" applyProtection="1">
      <alignment horizontal="left" vertical="center" wrapText="1"/>
      <protection/>
    </xf>
    <xf numFmtId="3" fontId="0" fillId="0" borderId="251" xfId="0" applyNumberFormat="1" applyFont="1" applyBorder="1" applyAlignment="1">
      <alignment horizontal="left" vertical="center"/>
    </xf>
    <xf numFmtId="3" fontId="0" fillId="0" borderId="252" xfId="0" applyNumberFormat="1" applyFont="1" applyBorder="1" applyAlignment="1">
      <alignment horizontal="left" vertical="center"/>
    </xf>
    <xf numFmtId="3" fontId="0" fillId="0" borderId="249" xfId="0" applyNumberFormat="1" applyFont="1" applyBorder="1" applyAlignment="1">
      <alignment horizontal="left" vertical="center"/>
    </xf>
    <xf numFmtId="3" fontId="0" fillId="0" borderId="250" xfId="0" applyNumberFormat="1" applyFont="1" applyBorder="1" applyAlignment="1">
      <alignment horizontal="left" vertical="center"/>
    </xf>
    <xf numFmtId="165" fontId="22" fillId="0" borderId="53" xfId="46" applyNumberFormat="1" applyFont="1" applyFill="1" applyBorder="1" applyAlignment="1" applyProtection="1">
      <alignment horizontal="left"/>
      <protection/>
    </xf>
    <xf numFmtId="165" fontId="22" fillId="0" borderId="122" xfId="46" applyNumberFormat="1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right" vertical="center"/>
    </xf>
    <xf numFmtId="3" fontId="33" fillId="0" borderId="253" xfId="0" applyNumberFormat="1" applyFont="1" applyBorder="1" applyAlignment="1">
      <alignment horizontal="left"/>
    </xf>
    <xf numFmtId="3" fontId="33" fillId="0" borderId="254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 vertical="center" wrapText="1"/>
    </xf>
    <xf numFmtId="3" fontId="0" fillId="0" borderId="33" xfId="0" applyNumberFormat="1" applyFont="1" applyBorder="1" applyAlignment="1">
      <alignment horizontal="left" vertical="center" wrapText="1"/>
    </xf>
    <xf numFmtId="3" fontId="33" fillId="0" borderId="11" xfId="0" applyNumberFormat="1" applyFont="1" applyBorder="1" applyAlignment="1">
      <alignment horizontal="left" vertical="center" wrapText="1"/>
    </xf>
    <xf numFmtId="3" fontId="33" fillId="0" borderId="33" xfId="0" applyNumberFormat="1" applyFont="1" applyBorder="1" applyAlignment="1">
      <alignment horizontal="left" vertical="center" wrapText="1"/>
    </xf>
    <xf numFmtId="165" fontId="22" fillId="0" borderId="193" xfId="46" applyNumberFormat="1" applyFont="1" applyFill="1" applyBorder="1" applyAlignment="1" applyProtection="1">
      <alignment horizontal="left"/>
      <protection/>
    </xf>
    <xf numFmtId="165" fontId="22" fillId="0" borderId="255" xfId="46" applyNumberFormat="1" applyFont="1" applyFill="1" applyBorder="1" applyAlignment="1" applyProtection="1">
      <alignment horizontal="left"/>
      <protection/>
    </xf>
    <xf numFmtId="3" fontId="0" fillId="0" borderId="253" xfId="0" applyNumberFormat="1" applyFont="1" applyBorder="1" applyAlignment="1">
      <alignment horizontal="left" vertical="center"/>
    </xf>
    <xf numFmtId="3" fontId="0" fillId="0" borderId="254" xfId="0" applyNumberFormat="1" applyFont="1" applyBorder="1" applyAlignment="1">
      <alignment horizontal="left" vertical="center"/>
    </xf>
    <xf numFmtId="3" fontId="0" fillId="0" borderId="247" xfId="0" applyNumberFormat="1" applyFont="1" applyBorder="1" applyAlignment="1">
      <alignment horizontal="left" vertical="center"/>
    </xf>
    <xf numFmtId="3" fontId="0" fillId="0" borderId="248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 wrapText="1"/>
    </xf>
    <xf numFmtId="0" fontId="2" fillId="0" borderId="240" xfId="0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08" xfId="0" applyFont="1" applyBorder="1" applyAlignment="1">
      <alignment horizontal="right" vertical="center"/>
    </xf>
    <xf numFmtId="0" fontId="2" fillId="0" borderId="256" xfId="0" applyFont="1" applyBorder="1" applyAlignment="1">
      <alignment horizontal="center" vertical="center"/>
    </xf>
    <xf numFmtId="0" fontId="2" fillId="0" borderId="257" xfId="0" applyFont="1" applyBorder="1" applyAlignment="1">
      <alignment horizontal="center" vertical="center"/>
    </xf>
    <xf numFmtId="0" fontId="5" fillId="51" borderId="192" xfId="0" applyFont="1" applyFill="1" applyBorder="1" applyAlignment="1">
      <alignment horizontal="center"/>
    </xf>
    <xf numFmtId="0" fontId="5" fillId="51" borderId="169" xfId="0" applyFont="1" applyFill="1" applyBorder="1" applyAlignment="1">
      <alignment horizontal="center"/>
    </xf>
    <xf numFmtId="0" fontId="2" fillId="0" borderId="160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 wrapText="1"/>
    </xf>
    <xf numFmtId="0" fontId="2" fillId="0" borderId="146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/>
    </xf>
    <xf numFmtId="0" fontId="2" fillId="0" borderId="1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08" xfId="0" applyBorder="1" applyAlignment="1">
      <alignment horizontal="right"/>
    </xf>
    <xf numFmtId="0" fontId="5" fillId="0" borderId="192" xfId="0" applyFont="1" applyBorder="1" applyAlignment="1">
      <alignment horizontal="center"/>
    </xf>
    <xf numFmtId="0" fontId="5" fillId="0" borderId="169" xfId="0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60" xfId="0" applyFont="1" applyBorder="1" applyAlignment="1">
      <alignment horizontal="center"/>
    </xf>
    <xf numFmtId="0" fontId="2" fillId="0" borderId="174" xfId="0" applyFont="1" applyBorder="1" applyAlignment="1">
      <alignment horizontal="center"/>
    </xf>
    <xf numFmtId="165" fontId="0" fillId="0" borderId="0" xfId="46" applyNumberFormat="1" applyFont="1" applyFill="1" applyBorder="1" applyAlignment="1" applyProtection="1">
      <alignment horizontal="right"/>
      <protection/>
    </xf>
    <xf numFmtId="3" fontId="2" fillId="33" borderId="3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/>
    </xf>
    <xf numFmtId="0" fontId="2" fillId="0" borderId="174" xfId="0" applyFont="1" applyFill="1" applyBorder="1" applyAlignment="1">
      <alignment horizontal="center"/>
    </xf>
    <xf numFmtId="0" fontId="2" fillId="0" borderId="258" xfId="0" applyFont="1" applyFill="1" applyBorder="1" applyAlignment="1">
      <alignment horizontal="center"/>
    </xf>
    <xf numFmtId="0" fontId="2" fillId="0" borderId="259" xfId="0" applyFont="1" applyFill="1" applyBorder="1" applyAlignment="1">
      <alignment horizontal="center"/>
    </xf>
    <xf numFmtId="3" fontId="2" fillId="37" borderId="148" xfId="0" applyNumberFormat="1" applyFont="1" applyFill="1" applyBorder="1" applyAlignment="1">
      <alignment horizontal="center"/>
    </xf>
    <xf numFmtId="3" fontId="2" fillId="37" borderId="169" xfId="0" applyNumberFormat="1" applyFont="1" applyFill="1" applyBorder="1" applyAlignment="1">
      <alignment horizontal="center"/>
    </xf>
    <xf numFmtId="3" fontId="2" fillId="0" borderId="70" xfId="0" applyNumberFormat="1" applyFont="1" applyFill="1" applyBorder="1" applyAlignment="1">
      <alignment horizontal="left"/>
    </xf>
    <xf numFmtId="3" fontId="2" fillId="0" borderId="71" xfId="0" applyNumberFormat="1" applyFont="1" applyFill="1" applyBorder="1" applyAlignment="1">
      <alignment horizontal="left"/>
    </xf>
    <xf numFmtId="3" fontId="0" fillId="0" borderId="70" xfId="0" applyNumberFormat="1" applyFont="1" applyFill="1" applyBorder="1" applyAlignment="1">
      <alignment horizontal="left"/>
    </xf>
    <xf numFmtId="3" fontId="0" fillId="0" borderId="71" xfId="0" applyNumberFormat="1" applyFont="1" applyFill="1" applyBorder="1" applyAlignment="1">
      <alignment horizontal="left"/>
    </xf>
    <xf numFmtId="3" fontId="26" fillId="0" borderId="70" xfId="0" applyNumberFormat="1" applyFont="1" applyFill="1" applyBorder="1" applyAlignment="1">
      <alignment horizontal="left"/>
    </xf>
    <xf numFmtId="3" fontId="26" fillId="0" borderId="71" xfId="0" applyNumberFormat="1" applyFont="1" applyFill="1" applyBorder="1" applyAlignment="1">
      <alignment horizontal="left"/>
    </xf>
    <xf numFmtId="0" fontId="0" fillId="0" borderId="67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 wrapText="1"/>
    </xf>
    <xf numFmtId="0" fontId="0" fillId="0" borderId="70" xfId="0" applyFont="1" applyFill="1" applyBorder="1" applyAlignment="1">
      <alignment horizontal="left"/>
    </xf>
    <xf numFmtId="0" fontId="0" fillId="0" borderId="71" xfId="0" applyFont="1" applyFill="1" applyBorder="1" applyAlignment="1">
      <alignment horizontal="left"/>
    </xf>
    <xf numFmtId="3" fontId="0" fillId="0" borderId="58" xfId="0" applyNumberFormat="1" applyFont="1" applyFill="1" applyBorder="1" applyAlignment="1">
      <alignment horizontal="left"/>
    </xf>
    <xf numFmtId="3" fontId="2" fillId="33" borderId="260" xfId="0" applyNumberFormat="1" applyFont="1" applyFill="1" applyBorder="1" applyAlignment="1">
      <alignment horizontal="center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3" fontId="2" fillId="33" borderId="160" xfId="0" applyNumberFormat="1" applyFont="1" applyFill="1" applyBorder="1" applyAlignment="1">
      <alignment horizontal="center" vertical="center" wrapText="1"/>
    </xf>
    <xf numFmtId="3" fontId="2" fillId="33" borderId="150" xfId="0" applyNumberFormat="1" applyFont="1" applyFill="1" applyBorder="1" applyAlignment="1">
      <alignment horizontal="center" vertical="center" wrapText="1"/>
    </xf>
    <xf numFmtId="3" fontId="2" fillId="33" borderId="145" xfId="0" applyNumberFormat="1" applyFont="1" applyFill="1" applyBorder="1" applyAlignment="1">
      <alignment horizontal="center" vertical="center" wrapText="1"/>
    </xf>
    <xf numFmtId="3" fontId="2" fillId="33" borderId="146" xfId="0" applyNumberFormat="1" applyFont="1" applyFill="1" applyBorder="1" applyAlignment="1">
      <alignment horizontal="center" vertical="center" wrapText="1"/>
    </xf>
    <xf numFmtId="3" fontId="2" fillId="33" borderId="150" xfId="0" applyNumberFormat="1" applyFont="1" applyFill="1" applyBorder="1" applyAlignment="1">
      <alignment horizontal="center" vertical="center"/>
    </xf>
    <xf numFmtId="3" fontId="2" fillId="33" borderId="14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spans="2:3" ht="12.75" customHeight="1">
      <c r="B1" s="1"/>
      <c r="C1" s="1" t="s">
        <v>0</v>
      </c>
    </row>
    <row r="2" spans="1:4" ht="12.75" customHeight="1">
      <c r="A2" s="1645" t="s">
        <v>1</v>
      </c>
      <c r="B2" s="1645"/>
      <c r="C2" s="1645"/>
      <c r="D2" s="1645"/>
    </row>
    <row r="3" spans="1:4" ht="12.75" customHeight="1">
      <c r="A3" s="2"/>
      <c r="B3" s="2"/>
      <c r="C3" s="2"/>
      <c r="D3" s="2"/>
    </row>
    <row r="4" spans="1:4" ht="12.75" customHeight="1">
      <c r="A4" s="3" t="s">
        <v>2</v>
      </c>
      <c r="B4" s="4"/>
      <c r="C4" s="4"/>
      <c r="D4" s="4"/>
    </row>
    <row r="5" spans="1:4" ht="12.75" customHeight="1">
      <c r="A5" s="1646" t="s">
        <v>3</v>
      </c>
      <c r="B5" s="1646"/>
      <c r="C5" s="1646"/>
      <c r="D5" s="1646"/>
    </row>
    <row r="6" spans="1:4" ht="12.75" customHeight="1">
      <c r="A6" s="5"/>
      <c r="B6" s="5"/>
      <c r="C6" s="5"/>
      <c r="D6" s="5"/>
    </row>
    <row r="7" spans="1:4" ht="12.75" customHeight="1">
      <c r="A7" s="5"/>
      <c r="B7" s="5"/>
      <c r="C7" s="5"/>
      <c r="D7" s="5"/>
    </row>
    <row r="9" spans="2:4" ht="12.75" customHeight="1">
      <c r="B9" s="6" t="s">
        <v>4</v>
      </c>
      <c r="C9" s="6" t="s">
        <v>4</v>
      </c>
      <c r="D9" s="6" t="s">
        <v>4</v>
      </c>
    </row>
    <row r="10" spans="1:4" ht="39" customHeight="1">
      <c r="A10" s="7" t="s">
        <v>5</v>
      </c>
      <c r="B10" s="8" t="s">
        <v>6</v>
      </c>
      <c r="C10" s="8" t="s">
        <v>7</v>
      </c>
      <c r="D10" s="8" t="s">
        <v>8</v>
      </c>
    </row>
    <row r="11" spans="1:4" ht="12.75" customHeight="1">
      <c r="A11" s="9" t="s">
        <v>9</v>
      </c>
      <c r="B11" s="10">
        <v>363899</v>
      </c>
      <c r="C11" s="10">
        <v>363899</v>
      </c>
      <c r="D11" s="10">
        <v>20838</v>
      </c>
    </row>
    <row r="12" spans="1:4" s="12" customFormat="1" ht="12.75" customHeight="1">
      <c r="A12" s="11" t="s">
        <v>10</v>
      </c>
      <c r="B12" s="10">
        <v>20367</v>
      </c>
      <c r="C12" s="10">
        <v>20367</v>
      </c>
      <c r="D12" s="10"/>
    </row>
    <row r="13" spans="1:4" ht="12.75" customHeight="1">
      <c r="A13" s="11" t="s">
        <v>11</v>
      </c>
      <c r="B13" s="13">
        <v>367159</v>
      </c>
      <c r="C13" s="13">
        <v>367159</v>
      </c>
      <c r="D13" s="13">
        <v>7348</v>
      </c>
    </row>
    <row r="14" spans="1:4" ht="12.75" customHeight="1">
      <c r="A14" s="14" t="s">
        <v>12</v>
      </c>
      <c r="B14" s="15">
        <f>B11+B12-B13</f>
        <v>17107</v>
      </c>
      <c r="C14" s="15">
        <f>C11+C12-C13</f>
        <v>17107</v>
      </c>
      <c r="D14" s="15">
        <f>D11+D12-D13</f>
        <v>13490</v>
      </c>
    </row>
    <row r="15" spans="2:4" ht="12.75" customHeight="1">
      <c r="B15" s="6"/>
      <c r="C15" s="6"/>
      <c r="D15" s="6"/>
    </row>
    <row r="16" spans="2:4" ht="12.75" customHeight="1">
      <c r="B16" s="6"/>
      <c r="C16" s="6"/>
      <c r="D16" s="6"/>
    </row>
    <row r="17" spans="2:4" ht="12.75" customHeight="1">
      <c r="B17" s="6"/>
      <c r="C17" s="6"/>
      <c r="D17" s="6"/>
    </row>
    <row r="18" spans="1:4" ht="12.75" customHeight="1">
      <c r="A18" s="11" t="s">
        <v>13</v>
      </c>
      <c r="B18" s="13">
        <v>6960</v>
      </c>
      <c r="C18" s="13">
        <v>6960</v>
      </c>
      <c r="D18" s="13">
        <v>7228</v>
      </c>
    </row>
    <row r="19" spans="1:4" ht="12.75" customHeight="1">
      <c r="A19" s="11" t="s">
        <v>14</v>
      </c>
      <c r="B19" s="13">
        <v>39633</v>
      </c>
      <c r="C19" s="13">
        <v>46851</v>
      </c>
      <c r="D19" s="16">
        <v>40774</v>
      </c>
    </row>
    <row r="20" spans="1:4" ht="12.75" customHeight="1">
      <c r="A20" s="11" t="s">
        <v>15</v>
      </c>
      <c r="B20" s="13">
        <v>11200</v>
      </c>
      <c r="C20" s="13">
        <v>11200</v>
      </c>
      <c r="D20" s="13">
        <v>7273</v>
      </c>
    </row>
    <row r="21" spans="1:4" ht="12.75" customHeight="1">
      <c r="A21" s="17" t="s">
        <v>16</v>
      </c>
      <c r="B21" s="15">
        <f>B18+B19-B20</f>
        <v>35393</v>
      </c>
      <c r="C21" s="15">
        <f>C18+C19-C20</f>
        <v>42611</v>
      </c>
      <c r="D21" s="15">
        <f>D18+D19-D20</f>
        <v>40729</v>
      </c>
    </row>
    <row r="22" spans="2:4" ht="12.75" customHeight="1">
      <c r="B22" s="6"/>
      <c r="C22" s="6"/>
      <c r="D22" s="6"/>
    </row>
    <row r="23" spans="2:4" ht="12.75" customHeight="1">
      <c r="B23" s="6"/>
      <c r="C23" s="6"/>
      <c r="D23" s="6"/>
    </row>
    <row r="24" spans="1:4" ht="12.75" customHeight="1" hidden="1">
      <c r="A24" s="18" t="s">
        <v>17</v>
      </c>
      <c r="B24" s="6"/>
      <c r="C24" s="6"/>
      <c r="D24" s="6"/>
    </row>
    <row r="25" spans="1:4" ht="12.75" customHeight="1" hidden="1">
      <c r="A25" s="12"/>
      <c r="B25" s="6"/>
      <c r="C25" s="6"/>
      <c r="D25" s="6"/>
    </row>
    <row r="26" spans="1:4" ht="12.75" customHeight="1" hidden="1">
      <c r="A26" s="19" t="s">
        <v>18</v>
      </c>
      <c r="B26" s="20">
        <v>46621</v>
      </c>
      <c r="C26" s="20">
        <v>46621</v>
      </c>
      <c r="D26" s="20">
        <v>46621</v>
      </c>
    </row>
    <row r="27" spans="1:4" ht="12.75" customHeight="1" hidden="1">
      <c r="A27" s="19" t="s">
        <v>19</v>
      </c>
      <c r="B27" s="20">
        <f>(B14+B21)*-1</f>
        <v>-52500</v>
      </c>
      <c r="C27" s="20">
        <f>(C14+C21)*-1</f>
        <v>-59718</v>
      </c>
      <c r="D27" s="20">
        <f>(D14+D21)*-1</f>
        <v>-54219</v>
      </c>
    </row>
    <row r="28" spans="1:4" ht="12.75" customHeight="1" hidden="1">
      <c r="A28" s="14" t="s">
        <v>20</v>
      </c>
      <c r="B28" s="15">
        <f>SUM(B26:B27)</f>
        <v>-5879</v>
      </c>
      <c r="C28" s="15">
        <f>SUM(C26:C27)</f>
        <v>-13097</v>
      </c>
      <c r="D28" s="15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72"/>
  <sheetViews>
    <sheetView showGridLines="0" view="pageBreakPreview" zoomScale="110" zoomScaleSheetLayoutView="110" zoomScalePageLayoutView="0" workbookViewId="0" topLeftCell="A1">
      <pane xSplit="3" ySplit="7" topLeftCell="D44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C65" sqref="C65"/>
    </sheetView>
  </sheetViews>
  <sheetFormatPr defaultColWidth="11.7109375" defaultRowHeight="12.75" customHeight="1"/>
  <cols>
    <col min="1" max="2" width="3.8515625" style="1106" customWidth="1"/>
    <col min="3" max="3" width="44.28125" style="1106" customWidth="1"/>
    <col min="4" max="4" width="14.140625" style="1106" customWidth="1"/>
    <col min="5" max="5" width="16.140625" style="1108" customWidth="1"/>
    <col min="6" max="9" width="14.7109375" style="1108" customWidth="1"/>
    <col min="10" max="10" width="16.421875" style="1106" customWidth="1"/>
    <col min="11" max="16384" width="11.7109375" style="1106" customWidth="1"/>
  </cols>
  <sheetData>
    <row r="1" spans="1:9" s="1105" customFormat="1" ht="18" customHeight="1">
      <c r="A1" s="1730" t="s">
        <v>458</v>
      </c>
      <c r="B1" s="1730"/>
      <c r="C1" s="1730"/>
      <c r="D1" s="1730"/>
      <c r="E1" s="1730"/>
      <c r="F1" s="1730"/>
      <c r="G1" s="1730"/>
      <c r="H1" s="1730"/>
      <c r="I1" s="1730"/>
    </row>
    <row r="2" spans="1:10" ht="12.75" customHeight="1">
      <c r="A2" s="1718" t="s">
        <v>1133</v>
      </c>
      <c r="B2" s="1718"/>
      <c r="C2" s="1718"/>
      <c r="D2" s="1718"/>
      <c r="E2" s="1718"/>
      <c r="F2" s="1718"/>
      <c r="G2" s="1718"/>
      <c r="H2" s="1718"/>
      <c r="I2" s="1718"/>
      <c r="J2" s="1718"/>
    </row>
    <row r="3" spans="1:10" ht="6.75" customHeight="1">
      <c r="A3" s="1718"/>
      <c r="B3" s="1718"/>
      <c r="C3" s="1718"/>
      <c r="D3" s="1718"/>
      <c r="E3" s="1718"/>
      <c r="F3" s="1718"/>
      <c r="G3" s="1718"/>
      <c r="H3" s="1718"/>
      <c r="I3" s="1718"/>
      <c r="J3" s="1718"/>
    </row>
    <row r="4" spans="1:10" ht="12.75">
      <c r="A4" s="1642"/>
      <c r="B4" s="1642"/>
      <c r="C4" s="1718" t="s">
        <v>1137</v>
      </c>
      <c r="D4" s="1718"/>
      <c r="E4" s="1718"/>
      <c r="F4" s="1718"/>
      <c r="G4" s="1718"/>
      <c r="H4" s="1718"/>
      <c r="I4" s="1718"/>
      <c r="J4" s="1642"/>
    </row>
    <row r="5" spans="1:10" ht="6.75" customHeight="1">
      <c r="A5" s="1733" t="s">
        <v>459</v>
      </c>
      <c r="B5" s="1733"/>
      <c r="C5" s="1733"/>
      <c r="D5" s="1733"/>
      <c r="E5" s="1733"/>
      <c r="F5" s="1733"/>
      <c r="G5" s="1733"/>
      <c r="H5" s="1733"/>
      <c r="I5" s="1733"/>
      <c r="J5" s="1733"/>
    </row>
    <row r="6" spans="1:10" s="1109" customFormat="1" ht="12.75" customHeight="1">
      <c r="A6" s="1733"/>
      <c r="B6" s="1733"/>
      <c r="C6" s="1733"/>
      <c r="D6" s="1733"/>
      <c r="E6" s="1733"/>
      <c r="F6" s="1733"/>
      <c r="G6" s="1733"/>
      <c r="H6" s="1733"/>
      <c r="I6" s="1733"/>
      <c r="J6" s="1733"/>
    </row>
    <row r="7" spans="1:10" s="1109" customFormat="1" ht="12.75" customHeight="1">
      <c r="A7" s="1733"/>
      <c r="B7" s="1733"/>
      <c r="C7" s="1733"/>
      <c r="D7" s="1733"/>
      <c r="E7" s="1733"/>
      <c r="F7" s="1733"/>
      <c r="G7" s="1733"/>
      <c r="H7" s="1733"/>
      <c r="I7" s="1733"/>
      <c r="J7" s="1733"/>
    </row>
    <row r="8" spans="1:3" s="1109" customFormat="1" ht="12.75" customHeight="1">
      <c r="A8" s="1110"/>
      <c r="B8" s="1110"/>
      <c r="C8" s="1110"/>
    </row>
    <row r="9" s="1109" customFormat="1" ht="12.75" customHeight="1">
      <c r="A9" s="1111"/>
    </row>
    <row r="10" spans="1:8" s="1109" customFormat="1" ht="12.75" customHeight="1">
      <c r="A10" s="1112"/>
      <c r="B10" s="1113"/>
      <c r="C10" s="1114"/>
      <c r="D10" s="1732" t="s">
        <v>219</v>
      </c>
      <c r="E10" s="1732"/>
      <c r="F10" s="1732"/>
      <c r="G10" s="1732"/>
      <c r="H10" s="1732"/>
    </row>
    <row r="11" spans="1:9" s="1109" customFormat="1" ht="24.75" customHeight="1">
      <c r="A11" s="1719" t="s">
        <v>156</v>
      </c>
      <c r="B11" s="1719"/>
      <c r="C11" s="1720" t="s">
        <v>460</v>
      </c>
      <c r="D11" s="1722" t="s">
        <v>159</v>
      </c>
      <c r="E11" s="1722" t="s">
        <v>793</v>
      </c>
      <c r="F11" s="1722" t="s">
        <v>803</v>
      </c>
      <c r="G11" s="1722" t="s">
        <v>885</v>
      </c>
      <c r="H11" s="1722" t="s">
        <v>891</v>
      </c>
      <c r="I11" s="1722" t="s">
        <v>947</v>
      </c>
    </row>
    <row r="12" spans="1:9" s="1109" customFormat="1" ht="24.75" customHeight="1">
      <c r="A12" s="1719"/>
      <c r="B12" s="1719"/>
      <c r="C12" s="1720"/>
      <c r="D12" s="1723"/>
      <c r="E12" s="1723"/>
      <c r="F12" s="1723"/>
      <c r="G12" s="1723"/>
      <c r="H12" s="1723"/>
      <c r="I12" s="1723"/>
    </row>
    <row r="13" spans="1:9" s="1109" customFormat="1" ht="14.25" customHeight="1">
      <c r="A13" s="1719"/>
      <c r="B13" s="1719"/>
      <c r="C13" s="1196" t="s">
        <v>461</v>
      </c>
      <c r="D13" s="1117" t="s">
        <v>162</v>
      </c>
      <c r="E13" s="1117" t="s">
        <v>163</v>
      </c>
      <c r="F13" s="1117" t="s">
        <v>164</v>
      </c>
      <c r="G13" s="1117" t="s">
        <v>505</v>
      </c>
      <c r="H13" s="1117" t="s">
        <v>525</v>
      </c>
      <c r="I13" s="1117" t="s">
        <v>804</v>
      </c>
    </row>
    <row r="14" spans="1:9" s="1109" customFormat="1" ht="12.75" customHeight="1">
      <c r="A14" s="1118" t="s">
        <v>38</v>
      </c>
      <c r="B14" s="1119" t="s">
        <v>167</v>
      </c>
      <c r="C14" s="497" t="s">
        <v>462</v>
      </c>
      <c r="D14" s="497">
        <f>SUM(D15:D15)</f>
        <v>400000</v>
      </c>
      <c r="E14" s="497">
        <f>SUM(E15:E16)</f>
        <v>2343000</v>
      </c>
      <c r="F14" s="497">
        <f>SUM(F15:F18)</f>
        <v>7088513</v>
      </c>
      <c r="G14" s="497">
        <f>SUM(G15:G18)</f>
        <v>7088513</v>
      </c>
      <c r="H14" s="497">
        <f>SUM(H15:H22)</f>
        <v>24914763</v>
      </c>
      <c r="I14" s="497">
        <f>SUM(I15:I22)</f>
        <v>17618312</v>
      </c>
    </row>
    <row r="15" spans="1:9" s="1109" customFormat="1" ht="27" customHeight="1">
      <c r="A15" s="1120" t="s">
        <v>40</v>
      </c>
      <c r="B15" s="1120"/>
      <c r="C15" s="1121" t="s">
        <v>463</v>
      </c>
      <c r="D15" s="1122">
        <v>400000</v>
      </c>
      <c r="E15" s="1122">
        <v>400000</v>
      </c>
      <c r="F15" s="1122">
        <v>400000</v>
      </c>
      <c r="G15" s="1122">
        <v>400000</v>
      </c>
      <c r="H15" s="1122">
        <v>400000</v>
      </c>
      <c r="I15" s="1122">
        <v>0</v>
      </c>
    </row>
    <row r="16" spans="1:9" s="1109" customFormat="1" ht="27" customHeight="1">
      <c r="A16" s="1120" t="s">
        <v>47</v>
      </c>
      <c r="B16" s="1120"/>
      <c r="C16" s="1121" t="s">
        <v>794</v>
      </c>
      <c r="D16" s="1122">
        <v>0</v>
      </c>
      <c r="E16" s="1122">
        <v>1943000</v>
      </c>
      <c r="F16" s="1122">
        <v>1943100</v>
      </c>
      <c r="G16" s="1122">
        <v>1943100</v>
      </c>
      <c r="H16" s="1122">
        <v>1943100</v>
      </c>
      <c r="I16" s="1585">
        <v>1943100</v>
      </c>
    </row>
    <row r="17" spans="1:9" s="1109" customFormat="1" ht="27" customHeight="1">
      <c r="A17" s="1120" t="s">
        <v>49</v>
      </c>
      <c r="B17" s="1120"/>
      <c r="C17" s="1121" t="s">
        <v>807</v>
      </c>
      <c r="D17" s="1122">
        <v>0</v>
      </c>
      <c r="E17" s="1122">
        <v>0</v>
      </c>
      <c r="F17" s="1122">
        <v>1145413</v>
      </c>
      <c r="G17" s="1122">
        <v>1145413</v>
      </c>
      <c r="H17" s="1122">
        <v>1145413</v>
      </c>
      <c r="I17" s="1585"/>
    </row>
    <row r="18" spans="1:9" s="1109" customFormat="1" ht="27" customHeight="1">
      <c r="A18" s="1120" t="s">
        <v>51</v>
      </c>
      <c r="B18" s="1120"/>
      <c r="C18" s="1121" t="s">
        <v>811</v>
      </c>
      <c r="D18" s="1122">
        <v>0</v>
      </c>
      <c r="E18" s="1122">
        <v>0</v>
      </c>
      <c r="F18" s="1122">
        <v>3600000</v>
      </c>
      <c r="G18" s="1122">
        <v>3600000</v>
      </c>
      <c r="H18" s="1122">
        <v>4700000</v>
      </c>
      <c r="I18" s="1585">
        <v>5053360</v>
      </c>
    </row>
    <row r="19" spans="1:9" s="1109" customFormat="1" ht="29.25" customHeight="1">
      <c r="A19" s="1120" t="s">
        <v>53</v>
      </c>
      <c r="B19" s="1120"/>
      <c r="C19" s="1121" t="s">
        <v>946</v>
      </c>
      <c r="D19" s="1122">
        <v>0</v>
      </c>
      <c r="E19" s="1122">
        <v>0</v>
      </c>
      <c r="F19" s="1122">
        <v>0</v>
      </c>
      <c r="G19" s="1122">
        <v>0</v>
      </c>
      <c r="H19" s="1122">
        <v>300000</v>
      </c>
      <c r="I19" s="1585">
        <v>262233</v>
      </c>
    </row>
    <row r="20" spans="1:9" s="1109" customFormat="1" ht="29.25" customHeight="1">
      <c r="A20" s="1120" t="s">
        <v>55</v>
      </c>
      <c r="B20" s="1120"/>
      <c r="C20" s="1122" t="s">
        <v>974</v>
      </c>
      <c r="D20" s="1122"/>
      <c r="E20" s="1122"/>
      <c r="F20" s="1122"/>
      <c r="G20" s="1122"/>
      <c r="H20" s="1122"/>
      <c r="I20" s="1585">
        <v>21590</v>
      </c>
    </row>
    <row r="21" spans="1:9" s="1109" customFormat="1" ht="44.25" customHeight="1">
      <c r="A21" s="1120" t="s">
        <v>57</v>
      </c>
      <c r="B21" s="1120"/>
      <c r="C21" s="1121" t="s">
        <v>464</v>
      </c>
      <c r="D21" s="1122">
        <v>1020000</v>
      </c>
      <c r="E21" s="1122">
        <v>1020000</v>
      </c>
      <c r="F21" s="1122">
        <v>1020000</v>
      </c>
      <c r="G21" s="1122">
        <v>1020000</v>
      </c>
      <c r="H21" s="1122">
        <v>1020000</v>
      </c>
      <c r="I21" s="1585">
        <v>1983541</v>
      </c>
    </row>
    <row r="22" spans="1:9" s="1109" customFormat="1" ht="27" customHeight="1">
      <c r="A22" s="1120" t="s">
        <v>86</v>
      </c>
      <c r="B22" s="1120"/>
      <c r="C22" s="1121" t="s">
        <v>919</v>
      </c>
      <c r="D22" s="1122"/>
      <c r="E22" s="1122"/>
      <c r="F22" s="1122"/>
      <c r="G22" s="1122"/>
      <c r="H22" s="1122">
        <v>15406250</v>
      </c>
      <c r="I22" s="1585">
        <v>8354488</v>
      </c>
    </row>
    <row r="23" spans="1:9" s="1109" customFormat="1" ht="12.75" customHeight="1">
      <c r="A23" s="1118" t="s">
        <v>59</v>
      </c>
      <c r="B23" s="1118" t="s">
        <v>169</v>
      </c>
      <c r="C23" s="497" t="s">
        <v>460</v>
      </c>
      <c r="D23" s="497">
        <f>SUM(D21:D31)</f>
        <v>27792174</v>
      </c>
      <c r="E23" s="497">
        <f>SUM(E21:E31)</f>
        <v>21592174</v>
      </c>
      <c r="F23" s="497">
        <f>SUM(F21:F31)</f>
        <v>22024137</v>
      </c>
      <c r="G23" s="497">
        <f>SUM(G21:G31)</f>
        <v>22024137</v>
      </c>
      <c r="H23" s="497">
        <f>SUM(H21:H32)</f>
        <v>340358866</v>
      </c>
      <c r="I23" s="497">
        <f>SUM(I21:I33)</f>
        <v>23499872</v>
      </c>
    </row>
    <row r="24" spans="1:9" s="1109" customFormat="1" ht="30.75" customHeight="1">
      <c r="A24" s="1120" t="s">
        <v>61</v>
      </c>
      <c r="B24" s="1120"/>
      <c r="C24" s="1121" t="s">
        <v>752</v>
      </c>
      <c r="D24" s="1122">
        <v>1200000</v>
      </c>
      <c r="E24" s="1122">
        <v>1200000</v>
      </c>
      <c r="F24" s="1122">
        <v>1275000</v>
      </c>
      <c r="G24" s="1122">
        <v>1275000</v>
      </c>
      <c r="H24" s="1122">
        <v>1275000</v>
      </c>
      <c r="I24" s="1122">
        <v>1285467</v>
      </c>
    </row>
    <row r="25" spans="1:9" s="1116" customFormat="1" ht="26.25" customHeight="1">
      <c r="A25" s="1120" t="s">
        <v>63</v>
      </c>
      <c r="B25" s="1124"/>
      <c r="C25" s="1122" t="s">
        <v>465</v>
      </c>
      <c r="D25" s="1122">
        <v>350000</v>
      </c>
      <c r="E25" s="1122">
        <v>350000</v>
      </c>
      <c r="F25" s="1122">
        <v>500000</v>
      </c>
      <c r="G25" s="1122">
        <v>500000</v>
      </c>
      <c r="H25" s="1122">
        <v>500000</v>
      </c>
      <c r="I25" s="1122">
        <v>770543</v>
      </c>
    </row>
    <row r="26" spans="1:9" s="1109" customFormat="1" ht="29.25" customHeight="1">
      <c r="A26" s="1120" t="s">
        <v>65</v>
      </c>
      <c r="B26" s="1120"/>
      <c r="C26" s="1121" t="s">
        <v>466</v>
      </c>
      <c r="D26" s="1122">
        <v>0</v>
      </c>
      <c r="E26" s="1122">
        <v>0</v>
      </c>
      <c r="F26" s="1122">
        <v>0</v>
      </c>
      <c r="G26" s="1122">
        <v>0</v>
      </c>
      <c r="H26" s="1122">
        <v>0</v>
      </c>
      <c r="I26" s="1122">
        <v>0</v>
      </c>
    </row>
    <row r="27" spans="1:9" s="1109" customFormat="1" ht="29.25" customHeight="1">
      <c r="A27" s="1120" t="s">
        <v>92</v>
      </c>
      <c r="B27" s="1120"/>
      <c r="C27" s="1122" t="s">
        <v>467</v>
      </c>
      <c r="D27" s="1122">
        <v>500000</v>
      </c>
      <c r="E27" s="1122">
        <v>500000</v>
      </c>
      <c r="F27" s="1122">
        <v>500000</v>
      </c>
      <c r="G27" s="1122">
        <v>500000</v>
      </c>
      <c r="H27" s="1122">
        <v>500000</v>
      </c>
      <c r="I27" s="1585">
        <v>489782</v>
      </c>
    </row>
    <row r="28" spans="1:9" s="1109" customFormat="1" ht="29.25" customHeight="1">
      <c r="A28" s="1120" t="s">
        <v>66</v>
      </c>
      <c r="B28" s="1120"/>
      <c r="C28" s="1122" t="s">
        <v>468</v>
      </c>
      <c r="D28" s="1122">
        <v>17372174</v>
      </c>
      <c r="E28" s="1122">
        <v>17372174</v>
      </c>
      <c r="F28" s="1122">
        <v>17372174</v>
      </c>
      <c r="G28" s="1122">
        <v>17372174</v>
      </c>
      <c r="H28" s="1122">
        <v>17372174</v>
      </c>
      <c r="I28" s="1585">
        <v>17372174</v>
      </c>
    </row>
    <row r="29" spans="1:9" s="1109" customFormat="1" ht="29.25" customHeight="1">
      <c r="A29" s="1120" t="s">
        <v>67</v>
      </c>
      <c r="B29" s="1120"/>
      <c r="C29" s="1109" t="s">
        <v>469</v>
      </c>
      <c r="D29" s="1122">
        <v>7000000</v>
      </c>
      <c r="E29" s="1122">
        <v>0</v>
      </c>
      <c r="F29" s="1122">
        <v>0</v>
      </c>
      <c r="G29" s="1122">
        <v>0</v>
      </c>
      <c r="H29" s="1122">
        <v>0</v>
      </c>
      <c r="I29" s="1585">
        <v>0</v>
      </c>
    </row>
    <row r="30" spans="1:9" s="1109" customFormat="1" ht="29.25" customHeight="1">
      <c r="A30" s="1120" t="s">
        <v>68</v>
      </c>
      <c r="B30" s="1120"/>
      <c r="C30" s="1126" t="s">
        <v>470</v>
      </c>
      <c r="D30" s="1122">
        <v>350000</v>
      </c>
      <c r="E30" s="1122">
        <v>350000</v>
      </c>
      <c r="F30" s="1122">
        <v>350000</v>
      </c>
      <c r="G30" s="1122">
        <v>350000</v>
      </c>
      <c r="H30" s="1122">
        <v>350000</v>
      </c>
      <c r="I30" s="1585">
        <v>0</v>
      </c>
    </row>
    <row r="31" spans="1:9" s="1109" customFormat="1" ht="29.25" customHeight="1">
      <c r="A31" s="1120" t="s">
        <v>70</v>
      </c>
      <c r="B31" s="1120"/>
      <c r="C31" s="1122" t="s">
        <v>796</v>
      </c>
      <c r="D31" s="1122">
        <v>0</v>
      </c>
      <c r="E31" s="1122">
        <v>800000</v>
      </c>
      <c r="F31" s="1122">
        <v>1006963</v>
      </c>
      <c r="G31" s="1122">
        <v>1006963</v>
      </c>
      <c r="H31" s="1122">
        <v>1006963</v>
      </c>
      <c r="I31" s="1585">
        <v>894588</v>
      </c>
    </row>
    <row r="32" spans="1:9" s="1109" customFormat="1" ht="29.25" customHeight="1">
      <c r="A32" s="1120" t="s">
        <v>97</v>
      </c>
      <c r="B32" s="1120"/>
      <c r="C32" s="1122" t="s">
        <v>920</v>
      </c>
      <c r="D32" s="1122">
        <v>0</v>
      </c>
      <c r="E32" s="1122">
        <v>0</v>
      </c>
      <c r="F32" s="1122">
        <v>0</v>
      </c>
      <c r="G32" s="1122">
        <v>0</v>
      </c>
      <c r="H32" s="1122">
        <v>318334729</v>
      </c>
      <c r="I32" s="1585"/>
    </row>
    <row r="33" spans="1:9" s="1109" customFormat="1" ht="29.25" customHeight="1">
      <c r="A33" s="1120" t="s">
        <v>99</v>
      </c>
      <c r="B33" s="1120"/>
      <c r="C33" s="1122" t="s">
        <v>962</v>
      </c>
      <c r="D33" s="1122">
        <v>0</v>
      </c>
      <c r="E33" s="1122">
        <v>0</v>
      </c>
      <c r="F33" s="1122">
        <v>0</v>
      </c>
      <c r="G33" s="1122">
        <v>0</v>
      </c>
      <c r="H33" s="1122">
        <v>0</v>
      </c>
      <c r="I33" s="1585">
        <v>703777</v>
      </c>
    </row>
    <row r="34" spans="1:9" s="498" customFormat="1" ht="29.25" customHeight="1">
      <c r="A34" s="1118" t="s">
        <v>101</v>
      </c>
      <c r="B34" s="1118" t="s">
        <v>966</v>
      </c>
      <c r="C34" s="497" t="s">
        <v>965</v>
      </c>
      <c r="D34" s="497">
        <v>0</v>
      </c>
      <c r="E34" s="497">
        <v>0</v>
      </c>
      <c r="F34" s="497">
        <v>0</v>
      </c>
      <c r="G34" s="497">
        <v>0</v>
      </c>
      <c r="H34" s="497">
        <v>0</v>
      </c>
      <c r="I34" s="1586">
        <v>1778000</v>
      </c>
    </row>
    <row r="35" spans="1:9" s="1109" customFormat="1" ht="29.25" customHeight="1">
      <c r="A35" s="1120" t="s">
        <v>103</v>
      </c>
      <c r="B35" s="1120"/>
      <c r="C35" s="1122" t="s">
        <v>967</v>
      </c>
      <c r="D35" s="1122">
        <v>0</v>
      </c>
      <c r="E35" s="1122">
        <v>0</v>
      </c>
      <c r="F35" s="1122">
        <v>0</v>
      </c>
      <c r="G35" s="1122">
        <v>0</v>
      </c>
      <c r="H35" s="1122">
        <v>0</v>
      </c>
      <c r="I35" s="1585">
        <v>1778000</v>
      </c>
    </row>
    <row r="36" spans="1:9" s="1109" customFormat="1" ht="12.75" customHeight="1">
      <c r="A36" s="1120" t="s">
        <v>105</v>
      </c>
      <c r="B36" s="1127"/>
      <c r="C36" s="1128" t="s">
        <v>25</v>
      </c>
      <c r="D36" s="1128">
        <f>SUM(D14+D23)</f>
        <v>28192174</v>
      </c>
      <c r="E36" s="1128">
        <f>SUM(E14+E23)</f>
        <v>23935174</v>
      </c>
      <c r="F36" s="1128">
        <f>SUM(F14+F23)</f>
        <v>29112650</v>
      </c>
      <c r="G36" s="1128">
        <f>SUM(G14+G23)</f>
        <v>29112650</v>
      </c>
      <c r="H36" s="1128">
        <f>SUM(H14+H23)</f>
        <v>364253629</v>
      </c>
      <c r="I36" s="1128">
        <f>SUM(I14+I23)+I34</f>
        <v>40912643</v>
      </c>
    </row>
    <row r="37" spans="1:9" s="1109" customFormat="1" ht="12.75" customHeight="1">
      <c r="A37" s="1129"/>
      <c r="B37" s="1123"/>
      <c r="C37" s="1123"/>
      <c r="F37" s="1125"/>
      <c r="G37" s="1125"/>
      <c r="H37" s="1125"/>
      <c r="I37" s="1125"/>
    </row>
    <row r="38" spans="1:9" s="1109" customFormat="1" ht="12.75" customHeight="1">
      <c r="A38" s="1129"/>
      <c r="B38" s="1123"/>
      <c r="C38" s="1123"/>
      <c r="F38" s="1125"/>
      <c r="G38" s="1125"/>
      <c r="H38" s="1125"/>
      <c r="I38" s="1125"/>
    </row>
    <row r="39" spans="1:9" s="1109" customFormat="1" ht="12.75" customHeight="1">
      <c r="A39" s="1731" t="s">
        <v>471</v>
      </c>
      <c r="B39" s="1731"/>
      <c r="C39" s="1731"/>
      <c r="D39" s="1731"/>
      <c r="E39" s="1731"/>
      <c r="F39" s="1731"/>
      <c r="G39" s="1731"/>
      <c r="H39" s="1731"/>
      <c r="I39" s="1731"/>
    </row>
    <row r="40" spans="1:10" s="1109" customFormat="1" ht="12.75" customHeight="1">
      <c r="A40" s="1718" t="s">
        <v>1133</v>
      </c>
      <c r="B40" s="1718"/>
      <c r="C40" s="1718"/>
      <c r="D40" s="1718"/>
      <c r="E40" s="1718"/>
      <c r="F40" s="1718"/>
      <c r="G40" s="1718"/>
      <c r="H40" s="1718"/>
      <c r="I40" s="1718"/>
      <c r="J40" s="1718"/>
    </row>
    <row r="41" spans="1:9" s="1109" customFormat="1" ht="12.75" customHeight="1">
      <c r="A41" s="1107"/>
      <c r="B41" s="1107"/>
      <c r="C41" s="1714" t="s">
        <v>1138</v>
      </c>
      <c r="D41" s="1714"/>
      <c r="E41" s="1714"/>
      <c r="F41" s="1714"/>
      <c r="G41" s="1714"/>
      <c r="H41" s="1714"/>
      <c r="I41" s="1714"/>
    </row>
    <row r="42" spans="1:10" s="1109" customFormat="1" ht="40.5" customHeight="1">
      <c r="A42" s="1717" t="s">
        <v>472</v>
      </c>
      <c r="B42" s="1717"/>
      <c r="C42" s="1717"/>
      <c r="D42" s="1717"/>
      <c r="E42" s="1717"/>
      <c r="F42" s="1717"/>
      <c r="G42" s="1717"/>
      <c r="H42" s="1717"/>
      <c r="I42" s="1717"/>
      <c r="J42" s="1717"/>
    </row>
    <row r="43" spans="1:9" s="1109" customFormat="1" ht="12.75" customHeight="1">
      <c r="A43" s="1130"/>
      <c r="B43" s="1130"/>
      <c r="C43" s="1130"/>
      <c r="D43" s="1130"/>
      <c r="E43" s="1130"/>
      <c r="F43" s="1130"/>
      <c r="G43" s="1130"/>
      <c r="H43" s="1130"/>
      <c r="I43" s="1130"/>
    </row>
    <row r="44" spans="1:9" s="1109" customFormat="1" ht="12.75" customHeight="1">
      <c r="A44" s="1197"/>
      <c r="B44" s="1197"/>
      <c r="C44" s="1197"/>
      <c r="D44" s="1197"/>
      <c r="E44" s="1197"/>
      <c r="F44" s="1197"/>
      <c r="G44" s="1389"/>
      <c r="H44" s="1389"/>
      <c r="I44" s="1540"/>
    </row>
    <row r="45" spans="1:9" s="1109" customFormat="1" ht="12.75" customHeight="1">
      <c r="A45" s="1131"/>
      <c r="B45" s="1131"/>
      <c r="C45" s="1131"/>
      <c r="D45" s="1131"/>
      <c r="E45" s="1131"/>
      <c r="F45" s="1131"/>
      <c r="G45" s="1131"/>
      <c r="H45" s="1131"/>
      <c r="I45" s="1131"/>
    </row>
    <row r="46" spans="1:8" s="1109" customFormat="1" ht="12.75" customHeight="1" thickBot="1">
      <c r="A46" s="1131"/>
      <c r="B46" s="1131"/>
      <c r="C46" s="1131"/>
      <c r="D46" s="1131"/>
      <c r="E46" s="1106"/>
      <c r="F46" s="1115"/>
      <c r="G46" s="1726"/>
      <c r="H46" s="1726"/>
    </row>
    <row r="47" spans="1:10" s="1109" customFormat="1" ht="21.75" customHeight="1" thickBot="1">
      <c r="A47" s="1721" t="s">
        <v>156</v>
      </c>
      <c r="B47" s="1721"/>
      <c r="C47" s="1727" t="s">
        <v>473</v>
      </c>
      <c r="D47" s="1728" t="s">
        <v>158</v>
      </c>
      <c r="E47" s="1716" t="s">
        <v>159</v>
      </c>
      <c r="F47" s="1716" t="s">
        <v>793</v>
      </c>
      <c r="G47" s="1716" t="s">
        <v>803</v>
      </c>
      <c r="H47" s="1716" t="s">
        <v>885</v>
      </c>
      <c r="I47" s="1716" t="s">
        <v>891</v>
      </c>
      <c r="J47" s="1716" t="s">
        <v>947</v>
      </c>
    </row>
    <row r="48" spans="1:10" s="1109" customFormat="1" ht="12.75" customHeight="1" thickBot="1">
      <c r="A48" s="1721"/>
      <c r="B48" s="1721"/>
      <c r="C48" s="1727"/>
      <c r="D48" s="1728"/>
      <c r="E48" s="1716"/>
      <c r="F48" s="1716"/>
      <c r="G48" s="1716"/>
      <c r="H48" s="1716"/>
      <c r="I48" s="1716"/>
      <c r="J48" s="1716"/>
    </row>
    <row r="49" spans="1:10" s="1109" customFormat="1" ht="12.75" customHeight="1">
      <c r="A49" s="1721"/>
      <c r="B49" s="1721"/>
      <c r="C49" s="1132" t="s">
        <v>161</v>
      </c>
      <c r="D49" s="1133" t="s">
        <v>162</v>
      </c>
      <c r="E49" s="1134" t="s">
        <v>163</v>
      </c>
      <c r="F49" s="1134" t="s">
        <v>164</v>
      </c>
      <c r="G49" s="1134" t="s">
        <v>505</v>
      </c>
      <c r="H49" s="1134" t="s">
        <v>525</v>
      </c>
      <c r="I49" s="1134" t="s">
        <v>804</v>
      </c>
      <c r="J49" s="1134" t="s">
        <v>890</v>
      </c>
    </row>
    <row r="50" spans="1:10" s="1109" customFormat="1" ht="12.75" customHeight="1">
      <c r="A50" s="1135" t="s">
        <v>38</v>
      </c>
      <c r="B50" s="1136"/>
      <c r="C50" s="1136" t="s">
        <v>474</v>
      </c>
      <c r="D50" s="1137">
        <f aca="true" t="shared" si="0" ref="D50:J50">SUM(D51:D54)</f>
        <v>26400000</v>
      </c>
      <c r="E50" s="1138">
        <f t="shared" si="0"/>
        <v>25710089</v>
      </c>
      <c r="F50" s="1138">
        <f t="shared" si="0"/>
        <v>28616089</v>
      </c>
      <c r="G50" s="1138">
        <f t="shared" si="0"/>
        <v>28616089</v>
      </c>
      <c r="H50" s="1138">
        <f t="shared" si="0"/>
        <v>28616089</v>
      </c>
      <c r="I50" s="1138">
        <f t="shared" si="0"/>
        <v>28616089</v>
      </c>
      <c r="J50" s="1138">
        <f t="shared" si="0"/>
        <v>31575240</v>
      </c>
    </row>
    <row r="51" spans="1:10" s="1109" customFormat="1" ht="12.75" customHeight="1">
      <c r="A51" s="1139" t="s">
        <v>40</v>
      </c>
      <c r="B51" s="1140"/>
      <c r="C51" s="1141" t="s">
        <v>475</v>
      </c>
      <c r="D51" s="1142">
        <v>4226000</v>
      </c>
      <c r="E51" s="1143">
        <v>7272000</v>
      </c>
      <c r="F51" s="1143">
        <v>9844000</v>
      </c>
      <c r="G51" s="1143">
        <v>9844000</v>
      </c>
      <c r="H51" s="1143">
        <v>9844000</v>
      </c>
      <c r="I51" s="1143">
        <v>9844000</v>
      </c>
      <c r="J51" s="1143">
        <v>6283632</v>
      </c>
    </row>
    <row r="52" spans="1:10" s="1109" customFormat="1" ht="12.75" customHeight="1">
      <c r="A52" s="1139" t="s">
        <v>47</v>
      </c>
      <c r="B52" s="1140"/>
      <c r="C52" s="1144" t="s">
        <v>476</v>
      </c>
      <c r="D52" s="1145">
        <v>1501000</v>
      </c>
      <c r="E52" s="1146">
        <v>2003000</v>
      </c>
      <c r="F52" s="1146">
        <v>2337000</v>
      </c>
      <c r="G52" s="1146">
        <v>2337000</v>
      </c>
      <c r="H52" s="1146">
        <v>2337000</v>
      </c>
      <c r="I52" s="1146">
        <v>2337000</v>
      </c>
      <c r="J52" s="1146">
        <v>2640000</v>
      </c>
    </row>
    <row r="53" spans="1:10" s="1109" customFormat="1" ht="12.75" customHeight="1">
      <c r="A53" s="1139" t="s">
        <v>49</v>
      </c>
      <c r="B53" s="1140"/>
      <c r="C53" s="1144" t="s">
        <v>477</v>
      </c>
      <c r="D53" s="1142">
        <v>19473000</v>
      </c>
      <c r="E53" s="938">
        <v>16435089</v>
      </c>
      <c r="F53" s="938">
        <v>16435089</v>
      </c>
      <c r="G53" s="938">
        <v>16435089</v>
      </c>
      <c r="H53" s="938">
        <v>16435089</v>
      </c>
      <c r="I53" s="938">
        <v>16435089</v>
      </c>
      <c r="J53" s="938">
        <v>22651608</v>
      </c>
    </row>
    <row r="54" spans="1:10" s="1109" customFormat="1" ht="12.75" customHeight="1">
      <c r="A54" s="1139" t="s">
        <v>51</v>
      </c>
      <c r="B54" s="1140"/>
      <c r="C54" s="1144" t="s">
        <v>478</v>
      </c>
      <c r="D54" s="1142">
        <v>1200000</v>
      </c>
      <c r="E54" s="1143">
        <v>0</v>
      </c>
      <c r="F54" s="1143">
        <v>0</v>
      </c>
      <c r="G54" s="1143">
        <v>0</v>
      </c>
      <c r="H54" s="1143">
        <v>0</v>
      </c>
      <c r="I54" s="1143">
        <v>0</v>
      </c>
      <c r="J54" s="1143">
        <v>0</v>
      </c>
    </row>
    <row r="55" spans="1:10" s="1109" customFormat="1" ht="12.75" customHeight="1">
      <c r="A55" s="1135" t="s">
        <v>53</v>
      </c>
      <c r="B55" s="1140"/>
      <c r="C55" s="1147" t="s">
        <v>479</v>
      </c>
      <c r="D55" s="1137">
        <f aca="true" t="shared" si="1" ref="D55:J55">D56</f>
        <v>4123000</v>
      </c>
      <c r="E55" s="1138">
        <f t="shared" si="1"/>
        <v>2000000</v>
      </c>
      <c r="F55" s="1138">
        <f t="shared" si="1"/>
        <v>2000000</v>
      </c>
      <c r="G55" s="1138">
        <f t="shared" si="1"/>
        <v>2350000</v>
      </c>
      <c r="H55" s="1138">
        <f t="shared" si="1"/>
        <v>2350000</v>
      </c>
      <c r="I55" s="1138">
        <f t="shared" si="1"/>
        <v>2350000</v>
      </c>
      <c r="J55" s="1138">
        <f t="shared" si="1"/>
        <v>2360424</v>
      </c>
    </row>
    <row r="56" spans="1:10" s="1109" customFormat="1" ht="12.75" customHeight="1">
      <c r="A56" s="1139" t="s">
        <v>55</v>
      </c>
      <c r="B56" s="1140"/>
      <c r="C56" s="1148" t="s">
        <v>276</v>
      </c>
      <c r="D56" s="1142">
        <v>4123000</v>
      </c>
      <c r="E56" s="1143">
        <v>2000000</v>
      </c>
      <c r="F56" s="1143">
        <v>2000000</v>
      </c>
      <c r="G56" s="1143">
        <v>2350000</v>
      </c>
      <c r="H56" s="1143">
        <v>2350000</v>
      </c>
      <c r="I56" s="1143">
        <v>2350000</v>
      </c>
      <c r="J56" s="1143">
        <v>2360424</v>
      </c>
    </row>
    <row r="57" spans="1:10" s="498" customFormat="1" ht="12.75" customHeight="1">
      <c r="A57" s="1135" t="s">
        <v>86</v>
      </c>
      <c r="B57" s="1136"/>
      <c r="C57" s="1136" t="s">
        <v>277</v>
      </c>
      <c r="D57" s="1137">
        <f>SUM(D72)</f>
        <v>1045000</v>
      </c>
      <c r="E57" s="1138">
        <f>SUM(E72)</f>
        <v>900000</v>
      </c>
      <c r="F57" s="1138">
        <v>900000</v>
      </c>
      <c r="G57" s="1138">
        <v>900000</v>
      </c>
      <c r="H57" s="1138">
        <v>900000</v>
      </c>
      <c r="I57" s="1138">
        <v>900000</v>
      </c>
      <c r="J57" s="1138">
        <v>47644</v>
      </c>
    </row>
    <row r="58" spans="1:10" s="1109" customFormat="1" ht="12.75" customHeight="1" thickBot="1">
      <c r="A58" s="1150" t="s">
        <v>92</v>
      </c>
      <c r="B58" s="1151"/>
      <c r="C58" s="1152" t="s">
        <v>25</v>
      </c>
      <c r="D58" s="1153">
        <f>D50+D55</f>
        <v>30523000</v>
      </c>
      <c r="E58" s="1154">
        <f>E50+E55</f>
        <v>27710089</v>
      </c>
      <c r="F58" s="1154">
        <f>F50+F55+F57</f>
        <v>31516089</v>
      </c>
      <c r="G58" s="1154">
        <f>G50+G55+G57</f>
        <v>31866089</v>
      </c>
      <c r="H58" s="1154">
        <f>H50+H55+H57</f>
        <v>31866089</v>
      </c>
      <c r="I58" s="1154">
        <f>I50+I55+I57</f>
        <v>31866089</v>
      </c>
      <c r="J58" s="1154">
        <f>J50+J55+J57</f>
        <v>33983308</v>
      </c>
    </row>
    <row r="59" s="1109" customFormat="1" ht="12.75" customHeight="1">
      <c r="A59" s="1111"/>
    </row>
    <row r="60" s="1109" customFormat="1" ht="12.75" customHeight="1">
      <c r="A60" s="1111"/>
    </row>
    <row r="61" spans="1:9" s="1109" customFormat="1" ht="12.75" customHeight="1">
      <c r="A61" s="1725" t="s">
        <v>480</v>
      </c>
      <c r="B61" s="1725"/>
      <c r="C61" s="1725"/>
      <c r="D61" s="1725"/>
      <c r="E61" s="1725"/>
      <c r="F61" s="1725"/>
      <c r="G61" s="1725"/>
      <c r="H61" s="1725"/>
      <c r="I61" s="1725"/>
    </row>
    <row r="62" spans="1:10" s="1109" customFormat="1" ht="12.75" customHeight="1">
      <c r="A62" s="1715" t="s">
        <v>1133</v>
      </c>
      <c r="B62" s="1715"/>
      <c r="C62" s="1715"/>
      <c r="D62" s="1715"/>
      <c r="E62" s="1715"/>
      <c r="F62" s="1715"/>
      <c r="G62" s="1715"/>
      <c r="H62" s="1715"/>
      <c r="I62" s="1715"/>
      <c r="J62" s="1715"/>
    </row>
    <row r="63" spans="1:10" s="1109" customFormat="1" ht="12.75" customHeight="1">
      <c r="A63" s="1643"/>
      <c r="B63" s="1643"/>
      <c r="C63" s="1715" t="s">
        <v>1139</v>
      </c>
      <c r="D63" s="1715"/>
      <c r="E63" s="1715"/>
      <c r="F63" s="1715"/>
      <c r="G63" s="1715"/>
      <c r="H63" s="1715"/>
      <c r="I63" s="1715"/>
      <c r="J63" s="1643"/>
    </row>
    <row r="64" spans="1:10" s="1109" customFormat="1" ht="12.75" customHeight="1">
      <c r="A64" s="1111"/>
      <c r="C64" s="1729" t="s">
        <v>934</v>
      </c>
      <c r="D64" s="1729"/>
      <c r="E64" s="1729"/>
      <c r="F64" s="1729"/>
      <c r="G64" s="1729"/>
      <c r="H64" s="1729"/>
      <c r="I64" s="1729"/>
      <c r="J64" s="1729"/>
    </row>
    <row r="65" spans="1:3" s="1109" customFormat="1" ht="12.75" customHeight="1">
      <c r="A65" s="1111"/>
      <c r="C65" s="1131"/>
    </row>
    <row r="66" spans="1:5" s="1109" customFormat="1" ht="12.75" customHeight="1">
      <c r="A66" s="1111"/>
      <c r="C66" s="1724" t="s">
        <v>219</v>
      </c>
      <c r="D66" s="1724"/>
      <c r="E66" s="1724"/>
    </row>
    <row r="67" spans="1:10" s="1109" customFormat="1" ht="12.75" customHeight="1">
      <c r="A67" s="1111"/>
      <c r="C67" s="1155" t="s">
        <v>24</v>
      </c>
      <c r="D67" s="1156" t="s">
        <v>481</v>
      </c>
      <c r="E67" s="1156" t="s">
        <v>482</v>
      </c>
      <c r="F67" s="1156" t="s">
        <v>793</v>
      </c>
      <c r="G67" s="1156" t="s">
        <v>803</v>
      </c>
      <c r="H67" s="1156" t="s">
        <v>885</v>
      </c>
      <c r="I67" s="1156" t="s">
        <v>963</v>
      </c>
      <c r="J67" s="1156" t="s">
        <v>964</v>
      </c>
    </row>
    <row r="68" spans="1:10" s="1109" customFormat="1" ht="12.75" customHeight="1">
      <c r="A68" s="1111"/>
      <c r="C68" s="1157" t="s">
        <v>971</v>
      </c>
      <c r="D68" s="1158">
        <v>297000</v>
      </c>
      <c r="E68" s="1158">
        <v>200000</v>
      </c>
      <c r="F68" s="1158">
        <v>200000</v>
      </c>
      <c r="G68" s="1158">
        <v>200000</v>
      </c>
      <c r="H68" s="1158">
        <v>200000</v>
      </c>
      <c r="I68" s="1158">
        <v>200000</v>
      </c>
      <c r="J68" s="1158">
        <v>47644</v>
      </c>
    </row>
    <row r="69" spans="1:10" s="1109" customFormat="1" ht="12.75" customHeight="1">
      <c r="A69" s="1111"/>
      <c r="C69" s="1149" t="s">
        <v>27</v>
      </c>
      <c r="D69" s="1142">
        <v>400000</v>
      </c>
      <c r="E69" s="1142">
        <v>500000</v>
      </c>
      <c r="F69" s="1142">
        <v>500000</v>
      </c>
      <c r="G69" s="1142">
        <v>500000</v>
      </c>
      <c r="H69" s="1142">
        <v>500000</v>
      </c>
      <c r="I69" s="1142">
        <v>500000</v>
      </c>
      <c r="J69" s="1142"/>
    </row>
    <row r="70" spans="1:10" s="1109" customFormat="1" ht="12.75" customHeight="1">
      <c r="A70" s="1111"/>
      <c r="C70" s="1149" t="s">
        <v>28</v>
      </c>
      <c r="D70" s="1142">
        <v>348000</v>
      </c>
      <c r="E70" s="1142">
        <v>0</v>
      </c>
      <c r="F70" s="1142">
        <v>0</v>
      </c>
      <c r="G70" s="1142">
        <v>0</v>
      </c>
      <c r="H70" s="1142">
        <v>0</v>
      </c>
      <c r="I70" s="1142">
        <v>0</v>
      </c>
      <c r="J70" s="1142">
        <v>0</v>
      </c>
    </row>
    <row r="71" spans="1:10" s="1109" customFormat="1" ht="12.75" customHeight="1">
      <c r="A71" s="1111"/>
      <c r="C71" s="1149" t="s">
        <v>483</v>
      </c>
      <c r="D71" s="1142"/>
      <c r="E71" s="1142">
        <v>200000</v>
      </c>
      <c r="F71" s="1142">
        <v>200000</v>
      </c>
      <c r="G71" s="1142">
        <v>200000</v>
      </c>
      <c r="H71" s="1142">
        <v>200000</v>
      </c>
      <c r="I71" s="1142">
        <v>200000</v>
      </c>
      <c r="J71" s="1142"/>
    </row>
    <row r="72" spans="1:10" s="1109" customFormat="1" ht="12.75" customHeight="1">
      <c r="A72" s="1111"/>
      <c r="C72" s="1159" t="s">
        <v>29</v>
      </c>
      <c r="D72" s="1160">
        <f aca="true" t="shared" si="2" ref="D72:J72">SUM(D68:D71)</f>
        <v>1045000</v>
      </c>
      <c r="E72" s="1160">
        <f t="shared" si="2"/>
        <v>900000</v>
      </c>
      <c r="F72" s="1160">
        <f t="shared" si="2"/>
        <v>900000</v>
      </c>
      <c r="G72" s="1160">
        <f t="shared" si="2"/>
        <v>900000</v>
      </c>
      <c r="H72" s="1160">
        <f t="shared" si="2"/>
        <v>900000</v>
      </c>
      <c r="I72" s="1160">
        <f t="shared" si="2"/>
        <v>900000</v>
      </c>
      <c r="J72" s="1160">
        <f t="shared" si="2"/>
        <v>47644</v>
      </c>
    </row>
  </sheetData>
  <sheetProtection selectLockedCells="1" selectUnlockedCells="1"/>
  <mergeCells count="32">
    <mergeCell ref="I11:I12"/>
    <mergeCell ref="C4:I4"/>
    <mergeCell ref="C64:J64"/>
    <mergeCell ref="A62:J62"/>
    <mergeCell ref="E11:E12"/>
    <mergeCell ref="F11:F12"/>
    <mergeCell ref="A1:I1"/>
    <mergeCell ref="A39:I39"/>
    <mergeCell ref="H11:H12"/>
    <mergeCell ref="D10:H10"/>
    <mergeCell ref="A5:J7"/>
    <mergeCell ref="A2:J3"/>
    <mergeCell ref="A11:B13"/>
    <mergeCell ref="C11:C12"/>
    <mergeCell ref="I47:I48"/>
    <mergeCell ref="A47:B49"/>
    <mergeCell ref="D11:D12"/>
    <mergeCell ref="C66:E66"/>
    <mergeCell ref="G47:G48"/>
    <mergeCell ref="A61:I61"/>
    <mergeCell ref="G11:G12"/>
    <mergeCell ref="G46:H46"/>
    <mergeCell ref="C41:I41"/>
    <mergeCell ref="C63:I63"/>
    <mergeCell ref="J47:J48"/>
    <mergeCell ref="A42:J42"/>
    <mergeCell ref="A40:J40"/>
    <mergeCell ref="E47:E48"/>
    <mergeCell ref="F47:F48"/>
    <mergeCell ref="H47:H48"/>
    <mergeCell ref="C47:C48"/>
    <mergeCell ref="D47:D48"/>
  </mergeCells>
  <printOptions horizontalCentered="1"/>
  <pageMargins left="0.4724409448818898" right="0.2362204724409449" top="0.15748031496062992" bottom="0.15748031496062992" header="0.5118110236220472" footer="0.5118110236220472"/>
  <pageSetup firstPageNumber="1" useFirstPageNumber="1"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28"/>
  <sheetViews>
    <sheetView view="pageBreakPreview" zoomScaleSheetLayoutView="100" zoomScalePageLayoutView="0" workbookViewId="0" topLeftCell="A1">
      <selection activeCell="C3" sqref="C3:N3"/>
    </sheetView>
  </sheetViews>
  <sheetFormatPr defaultColWidth="11.7109375" defaultRowHeight="12.75" customHeight="1"/>
  <cols>
    <col min="1" max="1" width="27.140625" style="1171" customWidth="1"/>
    <col min="2" max="2" width="13.8515625" style="1171" customWidth="1"/>
    <col min="3" max="3" width="12.140625" style="1171" customWidth="1"/>
    <col min="4" max="4" width="14.7109375" style="1171" bestFit="1" customWidth="1"/>
    <col min="5" max="5" width="13.7109375" style="1171" bestFit="1" customWidth="1"/>
    <col min="6" max="6" width="12.57421875" style="1187" bestFit="1" customWidth="1"/>
    <col min="7" max="7" width="13.7109375" style="1187" bestFit="1" customWidth="1"/>
    <col min="8" max="8" width="14.7109375" style="1171" bestFit="1" customWidth="1"/>
    <col min="9" max="9" width="31.28125" style="1171" customWidth="1"/>
    <col min="10" max="10" width="15.00390625" style="1171" customWidth="1"/>
    <col min="11" max="11" width="9.28125" style="1171" customWidth="1"/>
    <col min="12" max="12" width="12.57421875" style="1171" customWidth="1"/>
    <col min="13" max="14" width="13.7109375" style="1171" bestFit="1" customWidth="1"/>
    <col min="15" max="15" width="14.7109375" style="1171" customWidth="1"/>
    <col min="16" max="16" width="14.140625" style="1171" customWidth="1"/>
    <col min="17" max="16384" width="11.7109375" style="1171" customWidth="1"/>
  </cols>
  <sheetData>
    <row r="1" spans="1:16" s="1170" customFormat="1" ht="12.75" customHeight="1">
      <c r="A1" s="1735"/>
      <c r="B1" s="1735"/>
      <c r="C1" s="1735"/>
      <c r="D1" s="1735"/>
      <c r="I1" s="1736" t="s">
        <v>484</v>
      </c>
      <c r="J1" s="1736"/>
      <c r="K1" s="1736"/>
      <c r="L1" s="1736"/>
      <c r="M1" s="1736"/>
      <c r="N1" s="1736"/>
      <c r="O1" s="1736"/>
      <c r="P1" s="1736"/>
    </row>
    <row r="2" spans="1:16" ht="12.75" customHeight="1">
      <c r="A2" s="1737" t="s">
        <v>1133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737"/>
      <c r="P2" s="1737"/>
    </row>
    <row r="3" spans="1:16" ht="12.75" customHeight="1">
      <c r="A3" s="1644"/>
      <c r="B3" s="1644"/>
      <c r="C3" s="1737" t="s">
        <v>1140</v>
      </c>
      <c r="D3" s="1737"/>
      <c r="E3" s="1737"/>
      <c r="F3" s="1737"/>
      <c r="G3" s="1737"/>
      <c r="H3" s="1737"/>
      <c r="I3" s="1737"/>
      <c r="J3" s="1737"/>
      <c r="K3" s="1737"/>
      <c r="L3" s="1737"/>
      <c r="M3" s="1737"/>
      <c r="N3" s="1737"/>
      <c r="O3" s="1644"/>
      <c r="P3" s="1644"/>
    </row>
    <row r="4" spans="1:256" ht="12.75" customHeight="1">
      <c r="A4" s="1738" t="s">
        <v>485</v>
      </c>
      <c r="B4" s="1738"/>
      <c r="C4" s="1738"/>
      <c r="D4" s="1738"/>
      <c r="E4" s="1738"/>
      <c r="F4" s="1738"/>
      <c r="G4" s="1738"/>
      <c r="H4" s="1738"/>
      <c r="I4" s="1738"/>
      <c r="J4" s="1738"/>
      <c r="K4" s="1738"/>
      <c r="L4" s="1738"/>
      <c r="M4" s="1738"/>
      <c r="N4" s="1738"/>
      <c r="O4" s="1738"/>
      <c r="P4" s="1738"/>
      <c r="Q4" s="1172"/>
      <c r="R4" s="1172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2"/>
      <c r="AE4" s="1172"/>
      <c r="AF4" s="1172"/>
      <c r="AG4" s="1172"/>
      <c r="AH4" s="1172"/>
      <c r="AI4" s="1172"/>
      <c r="AJ4" s="1172"/>
      <c r="AK4" s="1172"/>
      <c r="AL4" s="1172"/>
      <c r="AM4" s="1172"/>
      <c r="AN4" s="1172"/>
      <c r="AO4" s="1172"/>
      <c r="AP4" s="1172"/>
      <c r="AQ4" s="1172"/>
      <c r="AR4" s="1172"/>
      <c r="AS4" s="1172"/>
      <c r="AT4" s="1172"/>
      <c r="AU4" s="1172"/>
      <c r="AV4" s="1172"/>
      <c r="AW4" s="1172"/>
      <c r="AX4" s="1172"/>
      <c r="AY4" s="1172"/>
      <c r="AZ4" s="1172"/>
      <c r="BA4" s="1172"/>
      <c r="BB4" s="1172"/>
      <c r="BC4" s="1172"/>
      <c r="BD4" s="1172"/>
      <c r="BE4" s="1172"/>
      <c r="BF4" s="1172"/>
      <c r="BG4" s="1172"/>
      <c r="BH4" s="1172"/>
      <c r="BI4" s="1172"/>
      <c r="BJ4" s="1172"/>
      <c r="BK4" s="1172"/>
      <c r="BL4" s="1172"/>
      <c r="BM4" s="1172"/>
      <c r="BN4" s="1172"/>
      <c r="BO4" s="1172"/>
      <c r="BP4" s="1172"/>
      <c r="BQ4" s="1172"/>
      <c r="BR4" s="1172"/>
      <c r="BS4" s="1172"/>
      <c r="BT4" s="1172"/>
      <c r="BU4" s="1172"/>
      <c r="BV4" s="1172"/>
      <c r="BW4" s="1172"/>
      <c r="BX4" s="1172"/>
      <c r="BY4" s="1172"/>
      <c r="BZ4" s="1172"/>
      <c r="CA4" s="1172"/>
      <c r="CB4" s="1172"/>
      <c r="CC4" s="1172"/>
      <c r="CD4" s="1172"/>
      <c r="CE4" s="1172"/>
      <c r="CF4" s="1172"/>
      <c r="CG4" s="1172"/>
      <c r="CH4" s="1172"/>
      <c r="CI4" s="1172"/>
      <c r="CJ4" s="1172"/>
      <c r="CK4" s="1172"/>
      <c r="CL4" s="1172"/>
      <c r="CM4" s="1172"/>
      <c r="CN4" s="1172"/>
      <c r="CO4" s="1172"/>
      <c r="CP4" s="1172"/>
      <c r="CQ4" s="1172"/>
      <c r="CR4" s="1172"/>
      <c r="CS4" s="1172"/>
      <c r="CT4" s="1172"/>
      <c r="CU4" s="1172"/>
      <c r="CV4" s="1172"/>
      <c r="CW4" s="1172"/>
      <c r="CX4" s="1172"/>
      <c r="CY4" s="1172"/>
      <c r="CZ4" s="1172"/>
      <c r="DA4" s="1172"/>
      <c r="DB4" s="1172"/>
      <c r="DC4" s="1172"/>
      <c r="DD4" s="1172"/>
      <c r="DE4" s="1172"/>
      <c r="DF4" s="1172"/>
      <c r="DG4" s="1172"/>
      <c r="DH4" s="1172"/>
      <c r="DI4" s="1172"/>
      <c r="DJ4" s="1172"/>
      <c r="DK4" s="1172"/>
      <c r="DL4" s="1172"/>
      <c r="DM4" s="1172"/>
      <c r="DN4" s="1172"/>
      <c r="DO4" s="1172"/>
      <c r="DP4" s="1172"/>
      <c r="DQ4" s="1172"/>
      <c r="DR4" s="1172"/>
      <c r="DS4" s="1172"/>
      <c r="DT4" s="1172"/>
      <c r="DU4" s="1172"/>
      <c r="DV4" s="1172"/>
      <c r="DW4" s="1172"/>
      <c r="DX4" s="1172"/>
      <c r="DY4" s="1172"/>
      <c r="DZ4" s="1172"/>
      <c r="EA4" s="1172"/>
      <c r="EB4" s="1172"/>
      <c r="EC4" s="1172"/>
      <c r="ED4" s="1172"/>
      <c r="EE4" s="1172"/>
      <c r="EF4" s="1172"/>
      <c r="EG4" s="1172"/>
      <c r="EH4" s="1172"/>
      <c r="EI4" s="1172"/>
      <c r="EJ4" s="1172"/>
      <c r="EK4" s="1172"/>
      <c r="EL4" s="1172"/>
      <c r="EM4" s="1172"/>
      <c r="EN4" s="1172"/>
      <c r="EO4" s="1172"/>
      <c r="EP4" s="1172"/>
      <c r="EQ4" s="1172"/>
      <c r="ER4" s="1172"/>
      <c r="ES4" s="1172"/>
      <c r="ET4" s="1172"/>
      <c r="EU4" s="1172"/>
      <c r="EV4" s="1172"/>
      <c r="EW4" s="1172"/>
      <c r="EX4" s="1172"/>
      <c r="EY4" s="1172"/>
      <c r="EZ4" s="1172"/>
      <c r="FA4" s="1172"/>
      <c r="FB4" s="1172"/>
      <c r="FC4" s="1172"/>
      <c r="FD4" s="1172"/>
      <c r="FE4" s="1172"/>
      <c r="FF4" s="1172"/>
      <c r="FG4" s="1172"/>
      <c r="FH4" s="1172"/>
      <c r="FI4" s="1172"/>
      <c r="FJ4" s="1172"/>
      <c r="FK4" s="1172"/>
      <c r="FL4" s="1172"/>
      <c r="FM4" s="1172"/>
      <c r="FN4" s="1172"/>
      <c r="FO4" s="1172"/>
      <c r="FP4" s="1172"/>
      <c r="FQ4" s="1172"/>
      <c r="FR4" s="1172"/>
      <c r="FS4" s="1172"/>
      <c r="FT4" s="1172"/>
      <c r="FU4" s="1172"/>
      <c r="FV4" s="1172"/>
      <c r="FW4" s="1172"/>
      <c r="FX4" s="1172"/>
      <c r="FY4" s="1172"/>
      <c r="FZ4" s="1172"/>
      <c r="GA4" s="1172"/>
      <c r="GB4" s="1172"/>
      <c r="GC4" s="1172"/>
      <c r="GD4" s="1172"/>
      <c r="GE4" s="1172"/>
      <c r="GF4" s="1172"/>
      <c r="GG4" s="1172"/>
      <c r="GH4" s="1172"/>
      <c r="GI4" s="1172"/>
      <c r="GJ4" s="1172"/>
      <c r="GK4" s="1172"/>
      <c r="GL4" s="1172"/>
      <c r="GM4" s="1172"/>
      <c r="GN4" s="1172"/>
      <c r="GO4" s="1172"/>
      <c r="GP4" s="1172"/>
      <c r="GQ4" s="1172"/>
      <c r="GR4" s="1172"/>
      <c r="GS4" s="1172"/>
      <c r="GT4" s="1172"/>
      <c r="GU4" s="1172"/>
      <c r="GV4" s="1172"/>
      <c r="GW4" s="1172"/>
      <c r="GX4" s="1172"/>
      <c r="GY4" s="1172"/>
      <c r="GZ4" s="1172"/>
      <c r="HA4" s="1172"/>
      <c r="HB4" s="1172"/>
      <c r="HC4" s="1172"/>
      <c r="HD4" s="1172"/>
      <c r="HE4" s="1172"/>
      <c r="HF4" s="1172"/>
      <c r="HG4" s="1172"/>
      <c r="HH4" s="1172"/>
      <c r="HI4" s="1172"/>
      <c r="HJ4" s="1172"/>
      <c r="HK4" s="1172"/>
      <c r="HL4" s="1172"/>
      <c r="HM4" s="1172"/>
      <c r="HN4" s="1172"/>
      <c r="HO4" s="1172"/>
      <c r="HP4" s="1172"/>
      <c r="HQ4" s="1172"/>
      <c r="HR4" s="1172"/>
      <c r="HS4" s="1172"/>
      <c r="HT4" s="1172"/>
      <c r="HU4" s="1172"/>
      <c r="HV4" s="1172"/>
      <c r="HW4" s="1172"/>
      <c r="HX4" s="1172"/>
      <c r="HY4" s="1172"/>
      <c r="HZ4" s="1172"/>
      <c r="IA4" s="1172"/>
      <c r="IB4" s="1172"/>
      <c r="IC4" s="1172"/>
      <c r="ID4" s="1172"/>
      <c r="IE4" s="1172"/>
      <c r="IF4" s="1172"/>
      <c r="IG4" s="1172"/>
      <c r="IH4" s="1172"/>
      <c r="II4" s="1172"/>
      <c r="IJ4" s="1172"/>
      <c r="IK4" s="1172"/>
      <c r="IL4" s="1172"/>
      <c r="IM4" s="1172"/>
      <c r="IN4" s="1172"/>
      <c r="IO4" s="1172"/>
      <c r="IP4" s="1172"/>
      <c r="IQ4" s="1172"/>
      <c r="IR4" s="1172"/>
      <c r="IS4" s="1172"/>
      <c r="IT4" s="1172"/>
      <c r="IU4" s="1172"/>
      <c r="IV4" s="1172"/>
    </row>
    <row r="5" spans="1:256" ht="12.75" customHeight="1">
      <c r="A5" s="1173"/>
      <c r="B5" s="1173"/>
      <c r="C5" s="1173"/>
      <c r="D5" s="1173"/>
      <c r="E5" s="1172"/>
      <c r="F5" s="1172"/>
      <c r="G5" s="1172"/>
      <c r="H5" s="1172"/>
      <c r="I5" s="1173"/>
      <c r="J5" s="1173"/>
      <c r="K5" s="1173"/>
      <c r="L5" s="1173"/>
      <c r="M5" s="1173"/>
      <c r="N5" s="1172"/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F5" s="1172"/>
      <c r="AG5" s="1172"/>
      <c r="AH5" s="1172"/>
      <c r="AI5" s="1172"/>
      <c r="AJ5" s="1172"/>
      <c r="AK5" s="1172"/>
      <c r="AL5" s="1172"/>
      <c r="AM5" s="1172"/>
      <c r="AN5" s="1172"/>
      <c r="AO5" s="1172"/>
      <c r="AP5" s="1172"/>
      <c r="AQ5" s="1172"/>
      <c r="AR5" s="1172"/>
      <c r="AS5" s="1172"/>
      <c r="AT5" s="1172"/>
      <c r="AU5" s="1172"/>
      <c r="AV5" s="1172"/>
      <c r="AW5" s="1172"/>
      <c r="AX5" s="1172"/>
      <c r="AY5" s="1172"/>
      <c r="AZ5" s="1172"/>
      <c r="BA5" s="1172"/>
      <c r="BB5" s="1172"/>
      <c r="BC5" s="1172"/>
      <c r="BD5" s="1172"/>
      <c r="BE5" s="1172"/>
      <c r="BF5" s="1172"/>
      <c r="BG5" s="1172"/>
      <c r="BH5" s="1172"/>
      <c r="BI5" s="1172"/>
      <c r="BJ5" s="1172"/>
      <c r="BK5" s="1172"/>
      <c r="BL5" s="1172"/>
      <c r="BM5" s="1172"/>
      <c r="BN5" s="1172"/>
      <c r="BO5" s="1172"/>
      <c r="BP5" s="1172"/>
      <c r="BQ5" s="1172"/>
      <c r="BR5" s="1172"/>
      <c r="BS5" s="1172"/>
      <c r="BT5" s="1172"/>
      <c r="BU5" s="1172"/>
      <c r="BV5" s="1172"/>
      <c r="BW5" s="1172"/>
      <c r="BX5" s="1172"/>
      <c r="BY5" s="1172"/>
      <c r="BZ5" s="1172"/>
      <c r="CA5" s="1172"/>
      <c r="CB5" s="1172"/>
      <c r="CC5" s="1172"/>
      <c r="CD5" s="1172"/>
      <c r="CE5" s="1172"/>
      <c r="CF5" s="1172"/>
      <c r="CG5" s="1172"/>
      <c r="CH5" s="1172"/>
      <c r="CI5" s="1172"/>
      <c r="CJ5" s="1172"/>
      <c r="CK5" s="1172"/>
      <c r="CL5" s="1172"/>
      <c r="CM5" s="1172"/>
      <c r="CN5" s="1172"/>
      <c r="CO5" s="1172"/>
      <c r="CP5" s="1172"/>
      <c r="CQ5" s="1172"/>
      <c r="CR5" s="1172"/>
      <c r="CS5" s="1172"/>
      <c r="CT5" s="1172"/>
      <c r="CU5" s="1172"/>
      <c r="CV5" s="1172"/>
      <c r="CW5" s="1172"/>
      <c r="CX5" s="1172"/>
      <c r="CY5" s="1172"/>
      <c r="CZ5" s="1172"/>
      <c r="DA5" s="1172"/>
      <c r="DB5" s="1172"/>
      <c r="DC5" s="1172"/>
      <c r="DD5" s="1172"/>
      <c r="DE5" s="1172"/>
      <c r="DF5" s="1172"/>
      <c r="DG5" s="1172"/>
      <c r="DH5" s="1172"/>
      <c r="DI5" s="1172"/>
      <c r="DJ5" s="1172"/>
      <c r="DK5" s="1172"/>
      <c r="DL5" s="1172"/>
      <c r="DM5" s="1172"/>
      <c r="DN5" s="1172"/>
      <c r="DO5" s="1172"/>
      <c r="DP5" s="1172"/>
      <c r="DQ5" s="1172"/>
      <c r="DR5" s="1172"/>
      <c r="DS5" s="1172"/>
      <c r="DT5" s="1172"/>
      <c r="DU5" s="1172"/>
      <c r="DV5" s="1172"/>
      <c r="DW5" s="1172"/>
      <c r="DX5" s="1172"/>
      <c r="DY5" s="1172"/>
      <c r="DZ5" s="1172"/>
      <c r="EA5" s="1172"/>
      <c r="EB5" s="1172"/>
      <c r="EC5" s="1172"/>
      <c r="ED5" s="1172"/>
      <c r="EE5" s="1172"/>
      <c r="EF5" s="1172"/>
      <c r="EG5" s="1172"/>
      <c r="EH5" s="1172"/>
      <c r="EI5" s="1172"/>
      <c r="EJ5" s="1172"/>
      <c r="EK5" s="1172"/>
      <c r="EL5" s="1172"/>
      <c r="EM5" s="1172"/>
      <c r="EN5" s="1172"/>
      <c r="EO5" s="1172"/>
      <c r="EP5" s="1172"/>
      <c r="EQ5" s="1172"/>
      <c r="ER5" s="1172"/>
      <c r="ES5" s="1172"/>
      <c r="ET5" s="1172"/>
      <c r="EU5" s="1172"/>
      <c r="EV5" s="1172"/>
      <c r="EW5" s="1172"/>
      <c r="EX5" s="1172"/>
      <c r="EY5" s="1172"/>
      <c r="EZ5" s="1172"/>
      <c r="FA5" s="1172"/>
      <c r="FB5" s="1172"/>
      <c r="FC5" s="1172"/>
      <c r="FD5" s="1172"/>
      <c r="FE5" s="1172"/>
      <c r="FF5" s="1172"/>
      <c r="FG5" s="1172"/>
      <c r="FH5" s="1172"/>
      <c r="FI5" s="1172"/>
      <c r="FJ5" s="1172"/>
      <c r="FK5" s="1172"/>
      <c r="FL5" s="1172"/>
      <c r="FM5" s="1172"/>
      <c r="FN5" s="1172"/>
      <c r="FO5" s="1172"/>
      <c r="FP5" s="1172"/>
      <c r="FQ5" s="1172"/>
      <c r="FR5" s="1172"/>
      <c r="FS5" s="1172"/>
      <c r="FT5" s="1172"/>
      <c r="FU5" s="1172"/>
      <c r="FV5" s="1172"/>
      <c r="FW5" s="1172"/>
      <c r="FX5" s="1172"/>
      <c r="FY5" s="1172"/>
      <c r="FZ5" s="1172"/>
      <c r="GA5" s="1172"/>
      <c r="GB5" s="1172"/>
      <c r="GC5" s="1172"/>
      <c r="GD5" s="1172"/>
      <c r="GE5" s="1172"/>
      <c r="GF5" s="1172"/>
      <c r="GG5" s="1172"/>
      <c r="GH5" s="1172"/>
      <c r="GI5" s="1172"/>
      <c r="GJ5" s="1172"/>
      <c r="GK5" s="1172"/>
      <c r="GL5" s="1172"/>
      <c r="GM5" s="1172"/>
      <c r="GN5" s="1172"/>
      <c r="GO5" s="1172"/>
      <c r="GP5" s="1172"/>
      <c r="GQ5" s="1172"/>
      <c r="GR5" s="1172"/>
      <c r="GS5" s="1172"/>
      <c r="GT5" s="1172"/>
      <c r="GU5" s="1172"/>
      <c r="GV5" s="1172"/>
      <c r="GW5" s="1172"/>
      <c r="GX5" s="1172"/>
      <c r="GY5" s="1172"/>
      <c r="GZ5" s="1172"/>
      <c r="HA5" s="1172"/>
      <c r="HB5" s="1172"/>
      <c r="HC5" s="1172"/>
      <c r="HD5" s="1172"/>
      <c r="HE5" s="1172"/>
      <c r="HF5" s="1172"/>
      <c r="HG5" s="1172"/>
      <c r="HH5" s="1172"/>
      <c r="HI5" s="1172"/>
      <c r="HJ5" s="1172"/>
      <c r="HK5" s="1172"/>
      <c r="HL5" s="1172"/>
      <c r="HM5" s="1172"/>
      <c r="HN5" s="1172"/>
      <c r="HO5" s="1172"/>
      <c r="HP5" s="1172"/>
      <c r="HQ5" s="1172"/>
      <c r="HR5" s="1172"/>
      <c r="HS5" s="1172"/>
      <c r="HT5" s="1172"/>
      <c r="HU5" s="1172"/>
      <c r="HV5" s="1172"/>
      <c r="HW5" s="1172"/>
      <c r="HX5" s="1172"/>
      <c r="HY5" s="1172"/>
      <c r="HZ5" s="1172"/>
      <c r="IA5" s="1172"/>
      <c r="IB5" s="1172"/>
      <c r="IC5" s="1172"/>
      <c r="ID5" s="1172"/>
      <c r="IE5" s="1172"/>
      <c r="IF5" s="1172"/>
      <c r="IG5" s="1172"/>
      <c r="IH5" s="1172"/>
      <c r="II5" s="1172"/>
      <c r="IJ5" s="1172"/>
      <c r="IK5" s="1172"/>
      <c r="IL5" s="1172"/>
      <c r="IM5" s="1172"/>
      <c r="IN5" s="1172"/>
      <c r="IO5" s="1172"/>
      <c r="IP5" s="1172"/>
      <c r="IQ5" s="1172"/>
      <c r="IR5" s="1172"/>
      <c r="IS5" s="1172"/>
      <c r="IT5" s="1172"/>
      <c r="IU5" s="1172"/>
      <c r="IV5" s="1172"/>
    </row>
    <row r="6" spans="1:256" ht="12.75" customHeight="1">
      <c r="A6" s="1172"/>
      <c r="B6" s="1172"/>
      <c r="C6" s="1172"/>
      <c r="D6" s="1172"/>
      <c r="E6" s="1172"/>
      <c r="F6" s="1172"/>
      <c r="G6" s="1739"/>
      <c r="H6" s="1739"/>
      <c r="I6" s="1172"/>
      <c r="J6" s="1172"/>
      <c r="K6" s="1172"/>
      <c r="L6" s="1172"/>
      <c r="M6" s="1172"/>
      <c r="N6" s="1740" t="s">
        <v>155</v>
      </c>
      <c r="O6" s="1740"/>
      <c r="P6" s="1740"/>
      <c r="Q6" s="1172"/>
      <c r="R6" s="1172"/>
      <c r="S6" s="1172"/>
      <c r="T6" s="1172"/>
      <c r="U6" s="1172"/>
      <c r="V6" s="1172"/>
      <c r="W6" s="1172"/>
      <c r="X6" s="1172"/>
      <c r="Y6" s="1172"/>
      <c r="Z6" s="1172"/>
      <c r="AA6" s="1172"/>
      <c r="AB6" s="1172"/>
      <c r="AC6" s="1172"/>
      <c r="AD6" s="1172"/>
      <c r="AE6" s="1172"/>
      <c r="AF6" s="1172"/>
      <c r="AG6" s="1172"/>
      <c r="AH6" s="1172"/>
      <c r="AI6" s="1172"/>
      <c r="AJ6" s="1172"/>
      <c r="AK6" s="1172"/>
      <c r="AL6" s="1172"/>
      <c r="AM6" s="1172"/>
      <c r="AN6" s="1172"/>
      <c r="AO6" s="1172"/>
      <c r="AP6" s="1172"/>
      <c r="AQ6" s="1172"/>
      <c r="AR6" s="1172"/>
      <c r="AS6" s="1172"/>
      <c r="AT6" s="1172"/>
      <c r="AU6" s="1172"/>
      <c r="AV6" s="1172"/>
      <c r="AW6" s="1172"/>
      <c r="AX6" s="1172"/>
      <c r="AY6" s="1172"/>
      <c r="AZ6" s="1172"/>
      <c r="BA6" s="1172"/>
      <c r="BB6" s="1172"/>
      <c r="BC6" s="1172"/>
      <c r="BD6" s="1172"/>
      <c r="BE6" s="1172"/>
      <c r="BF6" s="1172"/>
      <c r="BG6" s="1172"/>
      <c r="BH6" s="1172"/>
      <c r="BI6" s="1172"/>
      <c r="BJ6" s="1172"/>
      <c r="BK6" s="1172"/>
      <c r="BL6" s="1172"/>
      <c r="BM6" s="1172"/>
      <c r="BN6" s="1172"/>
      <c r="BO6" s="1172"/>
      <c r="BP6" s="1172"/>
      <c r="BQ6" s="1172"/>
      <c r="BR6" s="1172"/>
      <c r="BS6" s="1172"/>
      <c r="BT6" s="1172"/>
      <c r="BU6" s="1172"/>
      <c r="BV6" s="1172"/>
      <c r="BW6" s="1172"/>
      <c r="BX6" s="1172"/>
      <c r="BY6" s="1172"/>
      <c r="BZ6" s="1172"/>
      <c r="CA6" s="1172"/>
      <c r="CB6" s="1172"/>
      <c r="CC6" s="1172"/>
      <c r="CD6" s="1172"/>
      <c r="CE6" s="1172"/>
      <c r="CF6" s="1172"/>
      <c r="CG6" s="1172"/>
      <c r="CH6" s="1172"/>
      <c r="CI6" s="1172"/>
      <c r="CJ6" s="1172"/>
      <c r="CK6" s="1172"/>
      <c r="CL6" s="1172"/>
      <c r="CM6" s="1172"/>
      <c r="CN6" s="1172"/>
      <c r="CO6" s="1172"/>
      <c r="CP6" s="1172"/>
      <c r="CQ6" s="1172"/>
      <c r="CR6" s="1172"/>
      <c r="CS6" s="1172"/>
      <c r="CT6" s="1172"/>
      <c r="CU6" s="1172"/>
      <c r="CV6" s="1172"/>
      <c r="CW6" s="1172"/>
      <c r="CX6" s="1172"/>
      <c r="CY6" s="1172"/>
      <c r="CZ6" s="1172"/>
      <c r="DA6" s="1172"/>
      <c r="DB6" s="1172"/>
      <c r="DC6" s="1172"/>
      <c r="DD6" s="1172"/>
      <c r="DE6" s="1172"/>
      <c r="DF6" s="1172"/>
      <c r="DG6" s="1172"/>
      <c r="DH6" s="1172"/>
      <c r="DI6" s="1172"/>
      <c r="DJ6" s="1172"/>
      <c r="DK6" s="1172"/>
      <c r="DL6" s="1172"/>
      <c r="DM6" s="1172"/>
      <c r="DN6" s="1172"/>
      <c r="DO6" s="1172"/>
      <c r="DP6" s="1172"/>
      <c r="DQ6" s="1172"/>
      <c r="DR6" s="1172"/>
      <c r="DS6" s="1172"/>
      <c r="DT6" s="1172"/>
      <c r="DU6" s="1172"/>
      <c r="DV6" s="1172"/>
      <c r="DW6" s="1172"/>
      <c r="DX6" s="1172"/>
      <c r="DY6" s="1172"/>
      <c r="DZ6" s="1172"/>
      <c r="EA6" s="1172"/>
      <c r="EB6" s="1172"/>
      <c r="EC6" s="1172"/>
      <c r="ED6" s="1172"/>
      <c r="EE6" s="1172"/>
      <c r="EF6" s="1172"/>
      <c r="EG6" s="1172"/>
      <c r="EH6" s="1172"/>
      <c r="EI6" s="1172"/>
      <c r="EJ6" s="1172"/>
      <c r="EK6" s="1172"/>
      <c r="EL6" s="1172"/>
      <c r="EM6" s="1172"/>
      <c r="EN6" s="1172"/>
      <c r="EO6" s="1172"/>
      <c r="EP6" s="1172"/>
      <c r="EQ6" s="1172"/>
      <c r="ER6" s="1172"/>
      <c r="ES6" s="1172"/>
      <c r="ET6" s="1172"/>
      <c r="EU6" s="1172"/>
      <c r="EV6" s="1172"/>
      <c r="EW6" s="1172"/>
      <c r="EX6" s="1172"/>
      <c r="EY6" s="1172"/>
      <c r="EZ6" s="1172"/>
      <c r="FA6" s="1172"/>
      <c r="FB6" s="1172"/>
      <c r="FC6" s="1172"/>
      <c r="FD6" s="1172"/>
      <c r="FE6" s="1172"/>
      <c r="FF6" s="1172"/>
      <c r="FG6" s="1172"/>
      <c r="FH6" s="1172"/>
      <c r="FI6" s="1172"/>
      <c r="FJ6" s="1172"/>
      <c r="FK6" s="1172"/>
      <c r="FL6" s="1172"/>
      <c r="FM6" s="1172"/>
      <c r="FN6" s="1172"/>
      <c r="FO6" s="1172"/>
      <c r="FP6" s="1172"/>
      <c r="FQ6" s="1172"/>
      <c r="FR6" s="1172"/>
      <c r="FS6" s="1172"/>
      <c r="FT6" s="1172"/>
      <c r="FU6" s="1172"/>
      <c r="FV6" s="1172"/>
      <c r="FW6" s="1172"/>
      <c r="FX6" s="1172"/>
      <c r="FY6" s="1172"/>
      <c r="FZ6" s="1172"/>
      <c r="GA6" s="1172"/>
      <c r="GB6" s="1172"/>
      <c r="GC6" s="1172"/>
      <c r="GD6" s="1172"/>
      <c r="GE6" s="1172"/>
      <c r="GF6" s="1172"/>
      <c r="GG6" s="1172"/>
      <c r="GH6" s="1172"/>
      <c r="GI6" s="1172"/>
      <c r="GJ6" s="1172"/>
      <c r="GK6" s="1172"/>
      <c r="GL6" s="1172"/>
      <c r="GM6" s="1172"/>
      <c r="GN6" s="1172"/>
      <c r="GO6" s="1172"/>
      <c r="GP6" s="1172"/>
      <c r="GQ6" s="1172"/>
      <c r="GR6" s="1172"/>
      <c r="GS6" s="1172"/>
      <c r="GT6" s="1172"/>
      <c r="GU6" s="1172"/>
      <c r="GV6" s="1172"/>
      <c r="GW6" s="1172"/>
      <c r="GX6" s="1172"/>
      <c r="GY6" s="1172"/>
      <c r="GZ6" s="1172"/>
      <c r="HA6" s="1172"/>
      <c r="HB6" s="1172"/>
      <c r="HC6" s="1172"/>
      <c r="HD6" s="1172"/>
      <c r="HE6" s="1172"/>
      <c r="HF6" s="1172"/>
      <c r="HG6" s="1172"/>
      <c r="HH6" s="1172"/>
      <c r="HI6" s="1172"/>
      <c r="HJ6" s="1172"/>
      <c r="HK6" s="1172"/>
      <c r="HL6" s="1172"/>
      <c r="HM6" s="1172"/>
      <c r="HN6" s="1172"/>
      <c r="HO6" s="1172"/>
      <c r="HP6" s="1172"/>
      <c r="HQ6" s="1172"/>
      <c r="HR6" s="1172"/>
      <c r="HS6" s="1172"/>
      <c r="HT6" s="1172"/>
      <c r="HU6" s="1172"/>
      <c r="HV6" s="1172"/>
      <c r="HW6" s="1172"/>
      <c r="HX6" s="1172"/>
      <c r="HY6" s="1172"/>
      <c r="HZ6" s="1172"/>
      <c r="IA6" s="1172"/>
      <c r="IB6" s="1172"/>
      <c r="IC6" s="1172"/>
      <c r="ID6" s="1172"/>
      <c r="IE6" s="1172"/>
      <c r="IF6" s="1172"/>
      <c r="IG6" s="1172"/>
      <c r="IH6" s="1172"/>
      <c r="II6" s="1172"/>
      <c r="IJ6" s="1172"/>
      <c r="IK6" s="1172"/>
      <c r="IL6" s="1172"/>
      <c r="IM6" s="1172"/>
      <c r="IN6" s="1172"/>
      <c r="IO6" s="1172"/>
      <c r="IP6" s="1172"/>
      <c r="IQ6" s="1172"/>
      <c r="IR6" s="1172"/>
      <c r="IS6" s="1172"/>
      <c r="IT6" s="1172"/>
      <c r="IU6" s="1172"/>
      <c r="IV6" s="1172"/>
    </row>
    <row r="7" spans="1:256" ht="12.75" customHeight="1">
      <c r="A7" s="1174" t="s">
        <v>486</v>
      </c>
      <c r="B7" s="1175" t="s">
        <v>487</v>
      </c>
      <c r="C7" s="1175" t="s">
        <v>488</v>
      </c>
      <c r="D7" s="1175" t="s">
        <v>489</v>
      </c>
      <c r="E7" s="1175" t="s">
        <v>490</v>
      </c>
      <c r="F7" s="1175" t="s">
        <v>491</v>
      </c>
      <c r="G7" s="1175" t="s">
        <v>492</v>
      </c>
      <c r="H7" s="1176" t="s">
        <v>493</v>
      </c>
      <c r="I7" s="1174" t="s">
        <v>78</v>
      </c>
      <c r="J7" s="1175" t="s">
        <v>487</v>
      </c>
      <c r="K7" s="1175" t="s">
        <v>488</v>
      </c>
      <c r="L7" s="1175" t="s">
        <v>489</v>
      </c>
      <c r="M7" s="1175" t="s">
        <v>490</v>
      </c>
      <c r="N7" s="1175" t="s">
        <v>491</v>
      </c>
      <c r="O7" s="1175" t="s">
        <v>492</v>
      </c>
      <c r="P7" s="1176" t="s">
        <v>25</v>
      </c>
      <c r="Q7" s="1172"/>
      <c r="R7" s="1172"/>
      <c r="S7" s="1172"/>
      <c r="T7" s="1172"/>
      <c r="U7" s="1172"/>
      <c r="V7" s="1172"/>
      <c r="W7" s="1172"/>
      <c r="X7" s="1172"/>
      <c r="Y7" s="1172"/>
      <c r="Z7" s="1172"/>
      <c r="AA7" s="1172"/>
      <c r="AB7" s="1172"/>
      <c r="AC7" s="1172"/>
      <c r="AD7" s="1172"/>
      <c r="AE7" s="1172"/>
      <c r="AF7" s="1172"/>
      <c r="AG7" s="1172"/>
      <c r="AH7" s="1172"/>
      <c r="AI7" s="1172"/>
      <c r="AJ7" s="1172"/>
      <c r="AK7" s="1172"/>
      <c r="AL7" s="1172"/>
      <c r="AM7" s="1172"/>
      <c r="AN7" s="1172"/>
      <c r="AO7" s="1172"/>
      <c r="AP7" s="1172"/>
      <c r="AQ7" s="1172"/>
      <c r="AR7" s="1172"/>
      <c r="AS7" s="1172"/>
      <c r="AT7" s="1172"/>
      <c r="AU7" s="1172"/>
      <c r="AV7" s="1172"/>
      <c r="AW7" s="1172"/>
      <c r="AX7" s="1172"/>
      <c r="AY7" s="1172"/>
      <c r="AZ7" s="1172"/>
      <c r="BA7" s="1172"/>
      <c r="BB7" s="1172"/>
      <c r="BC7" s="1172"/>
      <c r="BD7" s="1172"/>
      <c r="BE7" s="1172"/>
      <c r="BF7" s="1172"/>
      <c r="BG7" s="1172"/>
      <c r="BH7" s="1172"/>
      <c r="BI7" s="1172"/>
      <c r="BJ7" s="1172"/>
      <c r="BK7" s="1172"/>
      <c r="BL7" s="1172"/>
      <c r="BM7" s="1172"/>
      <c r="BN7" s="1172"/>
      <c r="BO7" s="1172"/>
      <c r="BP7" s="1172"/>
      <c r="BQ7" s="1172"/>
      <c r="BR7" s="1172"/>
      <c r="BS7" s="1172"/>
      <c r="BT7" s="1172"/>
      <c r="BU7" s="1172"/>
      <c r="BV7" s="1172"/>
      <c r="BW7" s="1172"/>
      <c r="BX7" s="1172"/>
      <c r="BY7" s="1172"/>
      <c r="BZ7" s="1172"/>
      <c r="CA7" s="1172"/>
      <c r="CB7" s="1172"/>
      <c r="CC7" s="1172"/>
      <c r="CD7" s="1172"/>
      <c r="CE7" s="1172"/>
      <c r="CF7" s="1172"/>
      <c r="CG7" s="1172"/>
      <c r="CH7" s="1172"/>
      <c r="CI7" s="1172"/>
      <c r="CJ7" s="1172"/>
      <c r="CK7" s="1172"/>
      <c r="CL7" s="1172"/>
      <c r="CM7" s="1172"/>
      <c r="CN7" s="1172"/>
      <c r="CO7" s="1172"/>
      <c r="CP7" s="1172"/>
      <c r="CQ7" s="1172"/>
      <c r="CR7" s="1172"/>
      <c r="CS7" s="1172"/>
      <c r="CT7" s="1172"/>
      <c r="CU7" s="1172"/>
      <c r="CV7" s="1172"/>
      <c r="CW7" s="1172"/>
      <c r="CX7" s="1172"/>
      <c r="CY7" s="1172"/>
      <c r="CZ7" s="1172"/>
      <c r="DA7" s="1172"/>
      <c r="DB7" s="1172"/>
      <c r="DC7" s="1172"/>
      <c r="DD7" s="1172"/>
      <c r="DE7" s="1172"/>
      <c r="DF7" s="1172"/>
      <c r="DG7" s="1172"/>
      <c r="DH7" s="1172"/>
      <c r="DI7" s="1172"/>
      <c r="DJ7" s="1172"/>
      <c r="DK7" s="1172"/>
      <c r="DL7" s="1172"/>
      <c r="DM7" s="1172"/>
      <c r="DN7" s="1172"/>
      <c r="DO7" s="1172"/>
      <c r="DP7" s="1172"/>
      <c r="DQ7" s="1172"/>
      <c r="DR7" s="1172"/>
      <c r="DS7" s="1172"/>
      <c r="DT7" s="1172"/>
      <c r="DU7" s="1172"/>
      <c r="DV7" s="1172"/>
      <c r="DW7" s="1172"/>
      <c r="DX7" s="1172"/>
      <c r="DY7" s="1172"/>
      <c r="DZ7" s="1172"/>
      <c r="EA7" s="1172"/>
      <c r="EB7" s="1172"/>
      <c r="EC7" s="1172"/>
      <c r="ED7" s="1172"/>
      <c r="EE7" s="1172"/>
      <c r="EF7" s="1172"/>
      <c r="EG7" s="1172"/>
      <c r="EH7" s="1172"/>
      <c r="EI7" s="1172"/>
      <c r="EJ7" s="1172"/>
      <c r="EK7" s="1172"/>
      <c r="EL7" s="1172"/>
      <c r="EM7" s="1172"/>
      <c r="EN7" s="1172"/>
      <c r="EO7" s="1172"/>
      <c r="EP7" s="1172"/>
      <c r="EQ7" s="1172"/>
      <c r="ER7" s="1172"/>
      <c r="ES7" s="1172"/>
      <c r="ET7" s="1172"/>
      <c r="EU7" s="1172"/>
      <c r="EV7" s="1172"/>
      <c r="EW7" s="1172"/>
      <c r="EX7" s="1172"/>
      <c r="EY7" s="1172"/>
      <c r="EZ7" s="1172"/>
      <c r="FA7" s="1172"/>
      <c r="FB7" s="1172"/>
      <c r="FC7" s="1172"/>
      <c r="FD7" s="1172"/>
      <c r="FE7" s="1172"/>
      <c r="FF7" s="1172"/>
      <c r="FG7" s="1172"/>
      <c r="FH7" s="1172"/>
      <c r="FI7" s="1172"/>
      <c r="FJ7" s="1172"/>
      <c r="FK7" s="1172"/>
      <c r="FL7" s="1172"/>
      <c r="FM7" s="1172"/>
      <c r="FN7" s="1172"/>
      <c r="FO7" s="1172"/>
      <c r="FP7" s="1172"/>
      <c r="FQ7" s="1172"/>
      <c r="FR7" s="1172"/>
      <c r="FS7" s="1172"/>
      <c r="FT7" s="1172"/>
      <c r="FU7" s="1172"/>
      <c r="FV7" s="1172"/>
      <c r="FW7" s="1172"/>
      <c r="FX7" s="1172"/>
      <c r="FY7" s="1172"/>
      <c r="FZ7" s="1172"/>
      <c r="GA7" s="1172"/>
      <c r="GB7" s="1172"/>
      <c r="GC7" s="1172"/>
      <c r="GD7" s="1172"/>
      <c r="GE7" s="1172"/>
      <c r="GF7" s="1172"/>
      <c r="GG7" s="1172"/>
      <c r="GH7" s="1172"/>
      <c r="GI7" s="1172"/>
      <c r="GJ7" s="1172"/>
      <c r="GK7" s="1172"/>
      <c r="GL7" s="1172"/>
      <c r="GM7" s="1172"/>
      <c r="GN7" s="1172"/>
      <c r="GO7" s="1172"/>
      <c r="GP7" s="1172"/>
      <c r="GQ7" s="1172"/>
      <c r="GR7" s="1172"/>
      <c r="GS7" s="1172"/>
      <c r="GT7" s="1172"/>
      <c r="GU7" s="1172"/>
      <c r="GV7" s="1172"/>
      <c r="GW7" s="1172"/>
      <c r="GX7" s="1172"/>
      <c r="GY7" s="1172"/>
      <c r="GZ7" s="1172"/>
      <c r="HA7" s="1172"/>
      <c r="HB7" s="1172"/>
      <c r="HC7" s="1172"/>
      <c r="HD7" s="1172"/>
      <c r="HE7" s="1172"/>
      <c r="HF7" s="1172"/>
      <c r="HG7" s="1172"/>
      <c r="HH7" s="1172"/>
      <c r="HI7" s="1172"/>
      <c r="HJ7" s="1172"/>
      <c r="HK7" s="1172"/>
      <c r="HL7" s="1172"/>
      <c r="HM7" s="1172"/>
      <c r="HN7" s="1172"/>
      <c r="HO7" s="1172"/>
      <c r="HP7" s="1172"/>
      <c r="HQ7" s="1172"/>
      <c r="HR7" s="1172"/>
      <c r="HS7" s="1172"/>
      <c r="HT7" s="1172"/>
      <c r="HU7" s="1172"/>
      <c r="HV7" s="1172"/>
      <c r="HW7" s="1172"/>
      <c r="HX7" s="1172"/>
      <c r="HY7" s="1172"/>
      <c r="HZ7" s="1172"/>
      <c r="IA7" s="1172"/>
      <c r="IB7" s="1172"/>
      <c r="IC7" s="1172"/>
      <c r="ID7" s="1172"/>
      <c r="IE7" s="1172"/>
      <c r="IF7" s="1172"/>
      <c r="IG7" s="1172"/>
      <c r="IH7" s="1172"/>
      <c r="II7" s="1172"/>
      <c r="IJ7" s="1172"/>
      <c r="IK7" s="1172"/>
      <c r="IL7" s="1172"/>
      <c r="IM7" s="1172"/>
      <c r="IN7" s="1172"/>
      <c r="IO7" s="1172"/>
      <c r="IP7" s="1172"/>
      <c r="IQ7" s="1172"/>
      <c r="IR7" s="1172"/>
      <c r="IS7" s="1172"/>
      <c r="IT7" s="1172"/>
      <c r="IU7" s="1172"/>
      <c r="IV7" s="1172"/>
    </row>
    <row r="8" spans="1:256" ht="26.25" customHeight="1">
      <c r="A8" s="1177" t="s">
        <v>494</v>
      </c>
      <c r="B8" s="1178">
        <v>21721127</v>
      </c>
      <c r="C8" s="1178">
        <v>5197000</v>
      </c>
      <c r="D8" s="1179">
        <v>56426973</v>
      </c>
      <c r="E8" s="1179">
        <v>75126605</v>
      </c>
      <c r="F8" s="1179">
        <v>7688879</v>
      </c>
      <c r="G8" s="1179">
        <v>42785576</v>
      </c>
      <c r="H8" s="1633">
        <f aca="true" t="shared" si="0" ref="H8:H17">SUM(B8:G8)</f>
        <v>208946160</v>
      </c>
      <c r="I8" s="1177" t="s">
        <v>168</v>
      </c>
      <c r="J8" s="1178">
        <v>330561724</v>
      </c>
      <c r="K8" s="1636"/>
      <c r="L8" s="1636"/>
      <c r="M8" s="1637">
        <v>65000</v>
      </c>
      <c r="N8" s="1637"/>
      <c r="O8" s="1636">
        <v>907459</v>
      </c>
      <c r="P8" s="1635">
        <f aca="true" t="shared" si="1" ref="P8:P17">SUM(J8:O8)</f>
        <v>331534183</v>
      </c>
      <c r="Q8" s="1172"/>
      <c r="R8" s="1172"/>
      <c r="S8" s="1172"/>
      <c r="T8" s="1172"/>
      <c r="U8" s="1172"/>
      <c r="V8" s="1172"/>
      <c r="W8" s="1172"/>
      <c r="X8" s="1172"/>
      <c r="Y8" s="1172"/>
      <c r="Z8" s="1172"/>
      <c r="AA8" s="1172"/>
      <c r="AB8" s="1172"/>
      <c r="AC8" s="1172"/>
      <c r="AD8" s="1172"/>
      <c r="AE8" s="1172"/>
      <c r="AF8" s="1172"/>
      <c r="AG8" s="1172"/>
      <c r="AH8" s="1172"/>
      <c r="AI8" s="1172"/>
      <c r="AJ8" s="1172"/>
      <c r="AK8" s="1172"/>
      <c r="AL8" s="1172"/>
      <c r="AM8" s="1172"/>
      <c r="AN8" s="1172"/>
      <c r="AO8" s="1172"/>
      <c r="AP8" s="1172"/>
      <c r="AQ8" s="1172"/>
      <c r="AR8" s="1172"/>
      <c r="AS8" s="1172"/>
      <c r="AT8" s="1172"/>
      <c r="AU8" s="1172"/>
      <c r="AV8" s="1172"/>
      <c r="AW8" s="1172"/>
      <c r="AX8" s="1172"/>
      <c r="AY8" s="1172"/>
      <c r="AZ8" s="1172"/>
      <c r="BA8" s="1172"/>
      <c r="BB8" s="1172"/>
      <c r="BC8" s="1172"/>
      <c r="BD8" s="1172"/>
      <c r="BE8" s="1172"/>
      <c r="BF8" s="1172"/>
      <c r="BG8" s="1172"/>
      <c r="BH8" s="1172"/>
      <c r="BI8" s="1172"/>
      <c r="BJ8" s="1172"/>
      <c r="BK8" s="1172"/>
      <c r="BL8" s="1172"/>
      <c r="BM8" s="1172"/>
      <c r="BN8" s="1172"/>
      <c r="BO8" s="1172"/>
      <c r="BP8" s="1172"/>
      <c r="BQ8" s="1172"/>
      <c r="BR8" s="1172"/>
      <c r="BS8" s="1172"/>
      <c r="BT8" s="1172"/>
      <c r="BU8" s="1172"/>
      <c r="BV8" s="1172"/>
      <c r="BW8" s="1172"/>
      <c r="BX8" s="1172"/>
      <c r="BY8" s="1172"/>
      <c r="BZ8" s="1172"/>
      <c r="CA8" s="1172"/>
      <c r="CB8" s="1172"/>
      <c r="CC8" s="1172"/>
      <c r="CD8" s="1172"/>
      <c r="CE8" s="1172"/>
      <c r="CF8" s="1172"/>
      <c r="CG8" s="1172"/>
      <c r="CH8" s="1172"/>
      <c r="CI8" s="1172"/>
      <c r="CJ8" s="1172"/>
      <c r="CK8" s="1172"/>
      <c r="CL8" s="1172"/>
      <c r="CM8" s="1172"/>
      <c r="CN8" s="1172"/>
      <c r="CO8" s="1172"/>
      <c r="CP8" s="1172"/>
      <c r="CQ8" s="1172"/>
      <c r="CR8" s="1172"/>
      <c r="CS8" s="1172"/>
      <c r="CT8" s="1172"/>
      <c r="CU8" s="1172"/>
      <c r="CV8" s="1172"/>
      <c r="CW8" s="1172"/>
      <c r="CX8" s="1172"/>
      <c r="CY8" s="1172"/>
      <c r="CZ8" s="1172"/>
      <c r="DA8" s="1172"/>
      <c r="DB8" s="1172"/>
      <c r="DC8" s="1172"/>
      <c r="DD8" s="1172"/>
      <c r="DE8" s="1172"/>
      <c r="DF8" s="1172"/>
      <c r="DG8" s="1172"/>
      <c r="DH8" s="1172"/>
      <c r="DI8" s="1172"/>
      <c r="DJ8" s="1172"/>
      <c r="DK8" s="1172"/>
      <c r="DL8" s="1172"/>
      <c r="DM8" s="1172"/>
      <c r="DN8" s="1172"/>
      <c r="DO8" s="1172"/>
      <c r="DP8" s="1172"/>
      <c r="DQ8" s="1172"/>
      <c r="DR8" s="1172"/>
      <c r="DS8" s="1172"/>
      <c r="DT8" s="1172"/>
      <c r="DU8" s="1172"/>
      <c r="DV8" s="1172"/>
      <c r="DW8" s="1172"/>
      <c r="DX8" s="1172"/>
      <c r="DY8" s="1172"/>
      <c r="DZ8" s="1172"/>
      <c r="EA8" s="1172"/>
      <c r="EB8" s="1172"/>
      <c r="EC8" s="1172"/>
      <c r="ED8" s="1172"/>
      <c r="EE8" s="1172"/>
      <c r="EF8" s="1172"/>
      <c r="EG8" s="1172"/>
      <c r="EH8" s="1172"/>
      <c r="EI8" s="1172"/>
      <c r="EJ8" s="1172"/>
      <c r="EK8" s="1172"/>
      <c r="EL8" s="1172"/>
      <c r="EM8" s="1172"/>
      <c r="EN8" s="1172"/>
      <c r="EO8" s="1172"/>
      <c r="EP8" s="1172"/>
      <c r="EQ8" s="1172"/>
      <c r="ER8" s="1172"/>
      <c r="ES8" s="1172"/>
      <c r="ET8" s="1172"/>
      <c r="EU8" s="1172"/>
      <c r="EV8" s="1172"/>
      <c r="EW8" s="1172"/>
      <c r="EX8" s="1172"/>
      <c r="EY8" s="1172"/>
      <c r="EZ8" s="1172"/>
      <c r="FA8" s="1172"/>
      <c r="FB8" s="1172"/>
      <c r="FC8" s="1172"/>
      <c r="FD8" s="1172"/>
      <c r="FE8" s="1172"/>
      <c r="FF8" s="1172"/>
      <c r="FG8" s="1172"/>
      <c r="FH8" s="1172"/>
      <c r="FI8" s="1172"/>
      <c r="FJ8" s="1172"/>
      <c r="FK8" s="1172"/>
      <c r="FL8" s="1172"/>
      <c r="FM8" s="1172"/>
      <c r="FN8" s="1172"/>
      <c r="FO8" s="1172"/>
      <c r="FP8" s="1172"/>
      <c r="FQ8" s="1172"/>
      <c r="FR8" s="1172"/>
      <c r="FS8" s="1172"/>
      <c r="FT8" s="1172"/>
      <c r="FU8" s="1172"/>
      <c r="FV8" s="1172"/>
      <c r="FW8" s="1172"/>
      <c r="FX8" s="1172"/>
      <c r="FY8" s="1172"/>
      <c r="FZ8" s="1172"/>
      <c r="GA8" s="1172"/>
      <c r="GB8" s="1172"/>
      <c r="GC8" s="1172"/>
      <c r="GD8" s="1172"/>
      <c r="GE8" s="1172"/>
      <c r="GF8" s="1172"/>
      <c r="GG8" s="1172"/>
      <c r="GH8" s="1172"/>
      <c r="GI8" s="1172"/>
      <c r="GJ8" s="1172"/>
      <c r="GK8" s="1172"/>
      <c r="GL8" s="1172"/>
      <c r="GM8" s="1172"/>
      <c r="GN8" s="1172"/>
      <c r="GO8" s="1172"/>
      <c r="GP8" s="1172"/>
      <c r="GQ8" s="1172"/>
      <c r="GR8" s="1172"/>
      <c r="GS8" s="1172"/>
      <c r="GT8" s="1172"/>
      <c r="GU8" s="1172"/>
      <c r="GV8" s="1172"/>
      <c r="GW8" s="1172"/>
      <c r="GX8" s="1172"/>
      <c r="GY8" s="1172"/>
      <c r="GZ8" s="1172"/>
      <c r="HA8" s="1172"/>
      <c r="HB8" s="1172"/>
      <c r="HC8" s="1172"/>
      <c r="HD8" s="1172"/>
      <c r="HE8" s="1172"/>
      <c r="HF8" s="1172"/>
      <c r="HG8" s="1172"/>
      <c r="HH8" s="1172"/>
      <c r="HI8" s="1172"/>
      <c r="HJ8" s="1172"/>
      <c r="HK8" s="1172"/>
      <c r="HL8" s="1172"/>
      <c r="HM8" s="1172"/>
      <c r="HN8" s="1172"/>
      <c r="HO8" s="1172"/>
      <c r="HP8" s="1172"/>
      <c r="HQ8" s="1172"/>
      <c r="HR8" s="1172"/>
      <c r="HS8" s="1172"/>
      <c r="HT8" s="1172"/>
      <c r="HU8" s="1172"/>
      <c r="HV8" s="1172"/>
      <c r="HW8" s="1172"/>
      <c r="HX8" s="1172"/>
      <c r="HY8" s="1172"/>
      <c r="HZ8" s="1172"/>
      <c r="IA8" s="1172"/>
      <c r="IB8" s="1172"/>
      <c r="IC8" s="1172"/>
      <c r="ID8" s="1172"/>
      <c r="IE8" s="1172"/>
      <c r="IF8" s="1172"/>
      <c r="IG8" s="1172"/>
      <c r="IH8" s="1172"/>
      <c r="II8" s="1172"/>
      <c r="IJ8" s="1172"/>
      <c r="IK8" s="1172"/>
      <c r="IL8" s="1172"/>
      <c r="IM8" s="1172"/>
      <c r="IN8" s="1172"/>
      <c r="IO8" s="1172"/>
      <c r="IP8" s="1172"/>
      <c r="IQ8" s="1172"/>
      <c r="IR8" s="1172"/>
      <c r="IS8" s="1172"/>
      <c r="IT8" s="1172"/>
      <c r="IU8" s="1172"/>
      <c r="IV8" s="1172"/>
    </row>
    <row r="9" spans="1:256" ht="21.75" customHeight="1">
      <c r="A9" s="1177" t="s">
        <v>699</v>
      </c>
      <c r="B9" s="1178">
        <v>4347431</v>
      </c>
      <c r="C9" s="1178">
        <v>1168000</v>
      </c>
      <c r="D9" s="1179">
        <v>12600977</v>
      </c>
      <c r="E9" s="1179">
        <v>17578583</v>
      </c>
      <c r="F9" s="1179">
        <v>1729888</v>
      </c>
      <c r="G9" s="1179">
        <v>9043350</v>
      </c>
      <c r="H9" s="1633">
        <f t="shared" si="0"/>
        <v>46468229</v>
      </c>
      <c r="I9" s="1177" t="s">
        <v>499</v>
      </c>
      <c r="J9" s="1178"/>
      <c r="K9" s="1636"/>
      <c r="L9" s="1636">
        <v>60171959</v>
      </c>
      <c r="M9" s="1637">
        <v>85657376</v>
      </c>
      <c r="N9" s="1637">
        <v>4746312</v>
      </c>
      <c r="O9" s="1636">
        <v>28993914</v>
      </c>
      <c r="P9" s="1635">
        <f t="shared" si="1"/>
        <v>179569561</v>
      </c>
      <c r="Q9" s="1172"/>
      <c r="R9" s="1172"/>
      <c r="S9" s="1172"/>
      <c r="T9" s="1172"/>
      <c r="U9" s="1172"/>
      <c r="V9" s="1172"/>
      <c r="W9" s="1172"/>
      <c r="X9" s="1172"/>
      <c r="Y9" s="1172"/>
      <c r="Z9" s="1172"/>
      <c r="AA9" s="1172"/>
      <c r="AB9" s="1172"/>
      <c r="AC9" s="1172"/>
      <c r="AD9" s="1172"/>
      <c r="AE9" s="1172"/>
      <c r="AF9" s="1172"/>
      <c r="AG9" s="1172"/>
      <c r="AH9" s="1172"/>
      <c r="AI9" s="1172"/>
      <c r="AJ9" s="1172"/>
      <c r="AK9" s="1172"/>
      <c r="AL9" s="1172"/>
      <c r="AM9" s="1172"/>
      <c r="AN9" s="1172"/>
      <c r="AO9" s="1172"/>
      <c r="AP9" s="1172"/>
      <c r="AQ9" s="1172"/>
      <c r="AR9" s="1172"/>
      <c r="AS9" s="1172"/>
      <c r="AT9" s="1172"/>
      <c r="AU9" s="1172"/>
      <c r="AV9" s="1172"/>
      <c r="AW9" s="1172"/>
      <c r="AX9" s="1172"/>
      <c r="AY9" s="1172"/>
      <c r="AZ9" s="1172"/>
      <c r="BA9" s="1172"/>
      <c r="BB9" s="1172"/>
      <c r="BC9" s="1172"/>
      <c r="BD9" s="1172"/>
      <c r="BE9" s="1172"/>
      <c r="BF9" s="1172"/>
      <c r="BG9" s="1172"/>
      <c r="BH9" s="1172"/>
      <c r="BI9" s="1172"/>
      <c r="BJ9" s="1172"/>
      <c r="BK9" s="1172"/>
      <c r="BL9" s="1172"/>
      <c r="BM9" s="1172"/>
      <c r="BN9" s="1172"/>
      <c r="BO9" s="1172"/>
      <c r="BP9" s="1172"/>
      <c r="BQ9" s="1172"/>
      <c r="BR9" s="1172"/>
      <c r="BS9" s="1172"/>
      <c r="BT9" s="1172"/>
      <c r="BU9" s="1172"/>
      <c r="BV9" s="1172"/>
      <c r="BW9" s="1172"/>
      <c r="BX9" s="1172"/>
      <c r="BY9" s="1172"/>
      <c r="BZ9" s="1172"/>
      <c r="CA9" s="1172"/>
      <c r="CB9" s="1172"/>
      <c r="CC9" s="1172"/>
      <c r="CD9" s="1172"/>
      <c r="CE9" s="1172"/>
      <c r="CF9" s="1172"/>
      <c r="CG9" s="1172"/>
      <c r="CH9" s="1172"/>
      <c r="CI9" s="1172"/>
      <c r="CJ9" s="1172"/>
      <c r="CK9" s="1172"/>
      <c r="CL9" s="1172"/>
      <c r="CM9" s="1172"/>
      <c r="CN9" s="1172"/>
      <c r="CO9" s="1172"/>
      <c r="CP9" s="1172"/>
      <c r="CQ9" s="1172"/>
      <c r="CR9" s="1172"/>
      <c r="CS9" s="1172"/>
      <c r="CT9" s="1172"/>
      <c r="CU9" s="1172"/>
      <c r="CV9" s="1172"/>
      <c r="CW9" s="1172"/>
      <c r="CX9" s="1172"/>
      <c r="CY9" s="1172"/>
      <c r="CZ9" s="1172"/>
      <c r="DA9" s="1172"/>
      <c r="DB9" s="1172"/>
      <c r="DC9" s="1172"/>
      <c r="DD9" s="1172"/>
      <c r="DE9" s="1172"/>
      <c r="DF9" s="1172"/>
      <c r="DG9" s="1172"/>
      <c r="DH9" s="1172"/>
      <c r="DI9" s="1172"/>
      <c r="DJ9" s="1172"/>
      <c r="DK9" s="1172"/>
      <c r="DL9" s="1172"/>
      <c r="DM9" s="1172"/>
      <c r="DN9" s="1172"/>
      <c r="DO9" s="1172"/>
      <c r="DP9" s="1172"/>
      <c r="DQ9" s="1172"/>
      <c r="DR9" s="1172"/>
      <c r="DS9" s="1172"/>
      <c r="DT9" s="1172"/>
      <c r="DU9" s="1172"/>
      <c r="DV9" s="1172"/>
      <c r="DW9" s="1172"/>
      <c r="DX9" s="1172"/>
      <c r="DY9" s="1172"/>
      <c r="DZ9" s="1172"/>
      <c r="EA9" s="1172"/>
      <c r="EB9" s="1172"/>
      <c r="EC9" s="1172"/>
      <c r="ED9" s="1172"/>
      <c r="EE9" s="1172"/>
      <c r="EF9" s="1172"/>
      <c r="EG9" s="1172"/>
      <c r="EH9" s="1172"/>
      <c r="EI9" s="1172"/>
      <c r="EJ9" s="1172"/>
      <c r="EK9" s="1172"/>
      <c r="EL9" s="1172"/>
      <c r="EM9" s="1172"/>
      <c r="EN9" s="1172"/>
      <c r="EO9" s="1172"/>
      <c r="EP9" s="1172"/>
      <c r="EQ9" s="1172"/>
      <c r="ER9" s="1172"/>
      <c r="ES9" s="1172"/>
      <c r="ET9" s="1172"/>
      <c r="EU9" s="1172"/>
      <c r="EV9" s="1172"/>
      <c r="EW9" s="1172"/>
      <c r="EX9" s="1172"/>
      <c r="EY9" s="1172"/>
      <c r="EZ9" s="1172"/>
      <c r="FA9" s="1172"/>
      <c r="FB9" s="1172"/>
      <c r="FC9" s="1172"/>
      <c r="FD9" s="1172"/>
      <c r="FE9" s="1172"/>
      <c r="FF9" s="1172"/>
      <c r="FG9" s="1172"/>
      <c r="FH9" s="1172"/>
      <c r="FI9" s="1172"/>
      <c r="FJ9" s="1172"/>
      <c r="FK9" s="1172"/>
      <c r="FL9" s="1172"/>
      <c r="FM9" s="1172"/>
      <c r="FN9" s="1172"/>
      <c r="FO9" s="1172"/>
      <c r="FP9" s="1172"/>
      <c r="FQ9" s="1172"/>
      <c r="FR9" s="1172"/>
      <c r="FS9" s="1172"/>
      <c r="FT9" s="1172"/>
      <c r="FU9" s="1172"/>
      <c r="FV9" s="1172"/>
      <c r="FW9" s="1172"/>
      <c r="FX9" s="1172"/>
      <c r="FY9" s="1172"/>
      <c r="FZ9" s="1172"/>
      <c r="GA9" s="1172"/>
      <c r="GB9" s="1172"/>
      <c r="GC9" s="1172"/>
      <c r="GD9" s="1172"/>
      <c r="GE9" s="1172"/>
      <c r="GF9" s="1172"/>
      <c r="GG9" s="1172"/>
      <c r="GH9" s="1172"/>
      <c r="GI9" s="1172"/>
      <c r="GJ9" s="1172"/>
      <c r="GK9" s="1172"/>
      <c r="GL9" s="1172"/>
      <c r="GM9" s="1172"/>
      <c r="GN9" s="1172"/>
      <c r="GO9" s="1172"/>
      <c r="GP9" s="1172"/>
      <c r="GQ9" s="1172"/>
      <c r="GR9" s="1172"/>
      <c r="GS9" s="1172"/>
      <c r="GT9" s="1172"/>
      <c r="GU9" s="1172"/>
      <c r="GV9" s="1172"/>
      <c r="GW9" s="1172"/>
      <c r="GX9" s="1172"/>
      <c r="GY9" s="1172"/>
      <c r="GZ9" s="1172"/>
      <c r="HA9" s="1172"/>
      <c r="HB9" s="1172"/>
      <c r="HC9" s="1172"/>
      <c r="HD9" s="1172"/>
      <c r="HE9" s="1172"/>
      <c r="HF9" s="1172"/>
      <c r="HG9" s="1172"/>
      <c r="HH9" s="1172"/>
      <c r="HI9" s="1172"/>
      <c r="HJ9" s="1172"/>
      <c r="HK9" s="1172"/>
      <c r="HL9" s="1172"/>
      <c r="HM9" s="1172"/>
      <c r="HN9" s="1172"/>
      <c r="HO9" s="1172"/>
      <c r="HP9" s="1172"/>
      <c r="HQ9" s="1172"/>
      <c r="HR9" s="1172"/>
      <c r="HS9" s="1172"/>
      <c r="HT9" s="1172"/>
      <c r="HU9" s="1172"/>
      <c r="HV9" s="1172"/>
      <c r="HW9" s="1172"/>
      <c r="HX9" s="1172"/>
      <c r="HY9" s="1172"/>
      <c r="HZ9" s="1172"/>
      <c r="IA9" s="1172"/>
      <c r="IB9" s="1172"/>
      <c r="IC9" s="1172"/>
      <c r="ID9" s="1172"/>
      <c r="IE9" s="1172"/>
      <c r="IF9" s="1172"/>
      <c r="IG9" s="1172"/>
      <c r="IH9" s="1172"/>
      <c r="II9" s="1172"/>
      <c r="IJ9" s="1172"/>
      <c r="IK9" s="1172"/>
      <c r="IL9" s="1172"/>
      <c r="IM9" s="1172"/>
      <c r="IN9" s="1172"/>
      <c r="IO9" s="1172"/>
      <c r="IP9" s="1172"/>
      <c r="IQ9" s="1172"/>
      <c r="IR9" s="1172"/>
      <c r="IS9" s="1172"/>
      <c r="IT9" s="1172"/>
      <c r="IU9" s="1172"/>
      <c r="IV9" s="1172"/>
    </row>
    <row r="10" spans="1:256" ht="16.5" customHeight="1">
      <c r="A10" s="1177" t="s">
        <v>496</v>
      </c>
      <c r="B10" s="1178">
        <v>62964195</v>
      </c>
      <c r="C10" s="1178">
        <v>1200000</v>
      </c>
      <c r="D10" s="1179">
        <v>10127032</v>
      </c>
      <c r="E10" s="1179">
        <v>24203522</v>
      </c>
      <c r="F10" s="1179">
        <v>5094264</v>
      </c>
      <c r="G10" s="1179">
        <v>35581094</v>
      </c>
      <c r="H10" s="1633">
        <f t="shared" si="0"/>
        <v>139170107</v>
      </c>
      <c r="I10" s="1177" t="s">
        <v>500</v>
      </c>
      <c r="J10" s="1180"/>
      <c r="K10" s="1636"/>
      <c r="L10" s="1636">
        <v>17251023</v>
      </c>
      <c r="M10" s="1637">
        <v>29228811</v>
      </c>
      <c r="N10" s="1637">
        <v>9258671</v>
      </c>
      <c r="O10" s="1636">
        <v>34529419</v>
      </c>
      <c r="P10" s="1635">
        <f t="shared" si="1"/>
        <v>90267924</v>
      </c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172"/>
      <c r="AK10" s="1172"/>
      <c r="AL10" s="1172"/>
      <c r="AM10" s="1172"/>
      <c r="AN10" s="1172"/>
      <c r="AO10" s="1172"/>
      <c r="AP10" s="1172"/>
      <c r="AQ10" s="1172"/>
      <c r="AR10" s="1172"/>
      <c r="AS10" s="1172"/>
      <c r="AT10" s="1172"/>
      <c r="AU10" s="1172"/>
      <c r="AV10" s="1172"/>
      <c r="AW10" s="1172"/>
      <c r="AX10" s="1172"/>
      <c r="AY10" s="1172"/>
      <c r="AZ10" s="1172"/>
      <c r="BA10" s="1172"/>
      <c r="BB10" s="1172"/>
      <c r="BC10" s="1172"/>
      <c r="BD10" s="1172"/>
      <c r="BE10" s="1172"/>
      <c r="BF10" s="1172"/>
      <c r="BG10" s="1172"/>
      <c r="BH10" s="1172"/>
      <c r="BI10" s="1172"/>
      <c r="BJ10" s="1172"/>
      <c r="BK10" s="1172"/>
      <c r="BL10" s="1172"/>
      <c r="BM10" s="1172"/>
      <c r="BN10" s="1172"/>
      <c r="BO10" s="1172"/>
      <c r="BP10" s="1172"/>
      <c r="BQ10" s="1172"/>
      <c r="BR10" s="1172"/>
      <c r="BS10" s="1172"/>
      <c r="BT10" s="1172"/>
      <c r="BU10" s="1172"/>
      <c r="BV10" s="1172"/>
      <c r="BW10" s="1172"/>
      <c r="BX10" s="1172"/>
      <c r="BY10" s="1172"/>
      <c r="BZ10" s="1172"/>
      <c r="CA10" s="1172"/>
      <c r="CB10" s="1172"/>
      <c r="CC10" s="1172"/>
      <c r="CD10" s="1172"/>
      <c r="CE10" s="1172"/>
      <c r="CF10" s="1172"/>
      <c r="CG10" s="1172"/>
      <c r="CH10" s="1172"/>
      <c r="CI10" s="1172"/>
      <c r="CJ10" s="1172"/>
      <c r="CK10" s="1172"/>
      <c r="CL10" s="1172"/>
      <c r="CM10" s="1172"/>
      <c r="CN10" s="1172"/>
      <c r="CO10" s="1172"/>
      <c r="CP10" s="1172"/>
      <c r="CQ10" s="1172"/>
      <c r="CR10" s="1172"/>
      <c r="CS10" s="1172"/>
      <c r="CT10" s="1172"/>
      <c r="CU10" s="1172"/>
      <c r="CV10" s="1172"/>
      <c r="CW10" s="1172"/>
      <c r="CX10" s="1172"/>
      <c r="CY10" s="1172"/>
      <c r="CZ10" s="1172"/>
      <c r="DA10" s="1172"/>
      <c r="DB10" s="1172"/>
      <c r="DC10" s="1172"/>
      <c r="DD10" s="1172"/>
      <c r="DE10" s="1172"/>
      <c r="DF10" s="1172"/>
      <c r="DG10" s="1172"/>
      <c r="DH10" s="1172"/>
      <c r="DI10" s="1172"/>
      <c r="DJ10" s="1172"/>
      <c r="DK10" s="1172"/>
      <c r="DL10" s="1172"/>
      <c r="DM10" s="1172"/>
      <c r="DN10" s="1172"/>
      <c r="DO10" s="1172"/>
      <c r="DP10" s="1172"/>
      <c r="DQ10" s="1172"/>
      <c r="DR10" s="1172"/>
      <c r="DS10" s="1172"/>
      <c r="DT10" s="1172"/>
      <c r="DU10" s="1172"/>
      <c r="DV10" s="1172"/>
      <c r="DW10" s="1172"/>
      <c r="DX10" s="1172"/>
      <c r="DY10" s="1172"/>
      <c r="DZ10" s="1172"/>
      <c r="EA10" s="1172"/>
      <c r="EB10" s="1172"/>
      <c r="EC10" s="1172"/>
      <c r="ED10" s="1172"/>
      <c r="EE10" s="1172"/>
      <c r="EF10" s="1172"/>
      <c r="EG10" s="1172"/>
      <c r="EH10" s="1172"/>
      <c r="EI10" s="1172"/>
      <c r="EJ10" s="1172"/>
      <c r="EK10" s="1172"/>
      <c r="EL10" s="1172"/>
      <c r="EM10" s="1172"/>
      <c r="EN10" s="1172"/>
      <c r="EO10" s="1172"/>
      <c r="EP10" s="1172"/>
      <c r="EQ10" s="1172"/>
      <c r="ER10" s="1172"/>
      <c r="ES10" s="1172"/>
      <c r="ET10" s="1172"/>
      <c r="EU10" s="1172"/>
      <c r="EV10" s="1172"/>
      <c r="EW10" s="1172"/>
      <c r="EX10" s="1172"/>
      <c r="EY10" s="1172"/>
      <c r="EZ10" s="1172"/>
      <c r="FA10" s="1172"/>
      <c r="FB10" s="1172"/>
      <c r="FC10" s="1172"/>
      <c r="FD10" s="1172"/>
      <c r="FE10" s="1172"/>
      <c r="FF10" s="1172"/>
      <c r="FG10" s="1172"/>
      <c r="FH10" s="1172"/>
      <c r="FI10" s="1172"/>
      <c r="FJ10" s="1172"/>
      <c r="FK10" s="1172"/>
      <c r="FL10" s="1172"/>
      <c r="FM10" s="1172"/>
      <c r="FN10" s="1172"/>
      <c r="FO10" s="1172"/>
      <c r="FP10" s="1172"/>
      <c r="FQ10" s="1172"/>
      <c r="FR10" s="1172"/>
      <c r="FS10" s="1172"/>
      <c r="FT10" s="1172"/>
      <c r="FU10" s="1172"/>
      <c r="FV10" s="1172"/>
      <c r="FW10" s="1172"/>
      <c r="FX10" s="1172"/>
      <c r="FY10" s="1172"/>
      <c r="FZ10" s="1172"/>
      <c r="GA10" s="1172"/>
      <c r="GB10" s="1172"/>
      <c r="GC10" s="1172"/>
      <c r="GD10" s="1172"/>
      <c r="GE10" s="1172"/>
      <c r="GF10" s="1172"/>
      <c r="GG10" s="1172"/>
      <c r="GH10" s="1172"/>
      <c r="GI10" s="1172"/>
      <c r="GJ10" s="1172"/>
      <c r="GK10" s="1172"/>
      <c r="GL10" s="1172"/>
      <c r="GM10" s="1172"/>
      <c r="GN10" s="1172"/>
      <c r="GO10" s="1172"/>
      <c r="GP10" s="1172"/>
      <c r="GQ10" s="1172"/>
      <c r="GR10" s="1172"/>
      <c r="GS10" s="1172"/>
      <c r="GT10" s="1172"/>
      <c r="GU10" s="1172"/>
      <c r="GV10" s="1172"/>
      <c r="GW10" s="1172"/>
      <c r="GX10" s="1172"/>
      <c r="GY10" s="1172"/>
      <c r="GZ10" s="1172"/>
      <c r="HA10" s="1172"/>
      <c r="HB10" s="1172"/>
      <c r="HC10" s="1172"/>
      <c r="HD10" s="1172"/>
      <c r="HE10" s="1172"/>
      <c r="HF10" s="1172"/>
      <c r="HG10" s="1172"/>
      <c r="HH10" s="1172"/>
      <c r="HI10" s="1172"/>
      <c r="HJ10" s="1172"/>
      <c r="HK10" s="1172"/>
      <c r="HL10" s="1172"/>
      <c r="HM10" s="1172"/>
      <c r="HN10" s="1172"/>
      <c r="HO10" s="1172"/>
      <c r="HP10" s="1172"/>
      <c r="HQ10" s="1172"/>
      <c r="HR10" s="1172"/>
      <c r="HS10" s="1172"/>
      <c r="HT10" s="1172"/>
      <c r="HU10" s="1172"/>
      <c r="HV10" s="1172"/>
      <c r="HW10" s="1172"/>
      <c r="HX10" s="1172"/>
      <c r="HY10" s="1172"/>
      <c r="HZ10" s="1172"/>
      <c r="IA10" s="1172"/>
      <c r="IB10" s="1172"/>
      <c r="IC10" s="1172"/>
      <c r="ID10" s="1172"/>
      <c r="IE10" s="1172"/>
      <c r="IF10" s="1172"/>
      <c r="IG10" s="1172"/>
      <c r="IH10" s="1172"/>
      <c r="II10" s="1172"/>
      <c r="IJ10" s="1172"/>
      <c r="IK10" s="1172"/>
      <c r="IL10" s="1172"/>
      <c r="IM10" s="1172"/>
      <c r="IN10" s="1172"/>
      <c r="IO10" s="1172"/>
      <c r="IP10" s="1172"/>
      <c r="IQ10" s="1172"/>
      <c r="IR10" s="1172"/>
      <c r="IS10" s="1172"/>
      <c r="IT10" s="1172"/>
      <c r="IU10" s="1172"/>
      <c r="IV10" s="1172"/>
    </row>
    <row r="11" spans="1:256" ht="16.5" customHeight="1">
      <c r="A11" s="1177" t="s">
        <v>205</v>
      </c>
      <c r="B11" s="1178">
        <v>4659500</v>
      </c>
      <c r="C11" s="1178"/>
      <c r="D11" s="1178"/>
      <c r="E11" s="1178"/>
      <c r="F11" s="1178"/>
      <c r="G11" s="1178"/>
      <c r="H11" s="1634">
        <f t="shared" si="0"/>
        <v>4659500</v>
      </c>
      <c r="I11" s="1177" t="s">
        <v>177</v>
      </c>
      <c r="J11" s="1178">
        <v>171345614</v>
      </c>
      <c r="K11" s="1636"/>
      <c r="L11" s="1636"/>
      <c r="M11" s="1637"/>
      <c r="N11" s="1637"/>
      <c r="O11" s="1636"/>
      <c r="P11" s="1635">
        <f t="shared" si="1"/>
        <v>171345614</v>
      </c>
      <c r="Q11" s="1172"/>
      <c r="R11" s="1172"/>
      <c r="S11" s="1172"/>
      <c r="T11" s="1172"/>
      <c r="U11" s="1172"/>
      <c r="V11" s="1172"/>
      <c r="W11" s="1172"/>
      <c r="X11" s="1172"/>
      <c r="Y11" s="1172"/>
      <c r="Z11" s="1172"/>
      <c r="AA11" s="1172"/>
      <c r="AB11" s="1172"/>
      <c r="AC11" s="1172"/>
      <c r="AD11" s="1172"/>
      <c r="AE11" s="1172"/>
      <c r="AF11" s="1172"/>
      <c r="AG11" s="1172"/>
      <c r="AH11" s="1172"/>
      <c r="AI11" s="1172"/>
      <c r="AJ11" s="1172"/>
      <c r="AK11" s="1172"/>
      <c r="AL11" s="1172"/>
      <c r="AM11" s="1172"/>
      <c r="AN11" s="1172"/>
      <c r="AO11" s="1172"/>
      <c r="AP11" s="1172"/>
      <c r="AQ11" s="1172"/>
      <c r="AR11" s="1172"/>
      <c r="AS11" s="1172"/>
      <c r="AT11" s="1172"/>
      <c r="AU11" s="1172"/>
      <c r="AV11" s="1172"/>
      <c r="AW11" s="1172"/>
      <c r="AX11" s="1172"/>
      <c r="AY11" s="1172"/>
      <c r="AZ11" s="1172"/>
      <c r="BA11" s="1172"/>
      <c r="BB11" s="1172"/>
      <c r="BC11" s="1172"/>
      <c r="BD11" s="1172"/>
      <c r="BE11" s="1172"/>
      <c r="BF11" s="1172"/>
      <c r="BG11" s="1172"/>
      <c r="BH11" s="1172"/>
      <c r="BI11" s="1172"/>
      <c r="BJ11" s="1172"/>
      <c r="BK11" s="1172"/>
      <c r="BL11" s="1172"/>
      <c r="BM11" s="1172"/>
      <c r="BN11" s="1172"/>
      <c r="BO11" s="1172"/>
      <c r="BP11" s="1172"/>
      <c r="BQ11" s="1172"/>
      <c r="BR11" s="1172"/>
      <c r="BS11" s="1172"/>
      <c r="BT11" s="1172"/>
      <c r="BU11" s="1172"/>
      <c r="BV11" s="1172"/>
      <c r="BW11" s="1172"/>
      <c r="BX11" s="1172"/>
      <c r="BY11" s="1172"/>
      <c r="BZ11" s="1172"/>
      <c r="CA11" s="1172"/>
      <c r="CB11" s="1172"/>
      <c r="CC11" s="1172"/>
      <c r="CD11" s="1172"/>
      <c r="CE11" s="1172"/>
      <c r="CF11" s="1172"/>
      <c r="CG11" s="1172"/>
      <c r="CH11" s="1172"/>
      <c r="CI11" s="1172"/>
      <c r="CJ11" s="1172"/>
      <c r="CK11" s="1172"/>
      <c r="CL11" s="1172"/>
      <c r="CM11" s="1172"/>
      <c r="CN11" s="1172"/>
      <c r="CO11" s="1172"/>
      <c r="CP11" s="1172"/>
      <c r="CQ11" s="1172"/>
      <c r="CR11" s="1172"/>
      <c r="CS11" s="1172"/>
      <c r="CT11" s="1172"/>
      <c r="CU11" s="1172"/>
      <c r="CV11" s="1172"/>
      <c r="CW11" s="1172"/>
      <c r="CX11" s="1172"/>
      <c r="CY11" s="1172"/>
      <c r="CZ11" s="1172"/>
      <c r="DA11" s="1172"/>
      <c r="DB11" s="1172"/>
      <c r="DC11" s="1172"/>
      <c r="DD11" s="1172"/>
      <c r="DE11" s="1172"/>
      <c r="DF11" s="1172"/>
      <c r="DG11" s="1172"/>
      <c r="DH11" s="1172"/>
      <c r="DI11" s="1172"/>
      <c r="DJ11" s="1172"/>
      <c r="DK11" s="1172"/>
      <c r="DL11" s="1172"/>
      <c r="DM11" s="1172"/>
      <c r="DN11" s="1172"/>
      <c r="DO11" s="1172"/>
      <c r="DP11" s="1172"/>
      <c r="DQ11" s="1172"/>
      <c r="DR11" s="1172"/>
      <c r="DS11" s="1172"/>
      <c r="DT11" s="1172"/>
      <c r="DU11" s="1172"/>
      <c r="DV11" s="1172"/>
      <c r="DW11" s="1172"/>
      <c r="DX11" s="1172"/>
      <c r="DY11" s="1172"/>
      <c r="DZ11" s="1172"/>
      <c r="EA11" s="1172"/>
      <c r="EB11" s="1172"/>
      <c r="EC11" s="1172"/>
      <c r="ED11" s="1172"/>
      <c r="EE11" s="1172"/>
      <c r="EF11" s="1172"/>
      <c r="EG11" s="1172"/>
      <c r="EH11" s="1172"/>
      <c r="EI11" s="1172"/>
      <c r="EJ11" s="1172"/>
      <c r="EK11" s="1172"/>
      <c r="EL11" s="1172"/>
      <c r="EM11" s="1172"/>
      <c r="EN11" s="1172"/>
      <c r="EO11" s="1172"/>
      <c r="EP11" s="1172"/>
      <c r="EQ11" s="1172"/>
      <c r="ER11" s="1172"/>
      <c r="ES11" s="1172"/>
      <c r="ET11" s="1172"/>
      <c r="EU11" s="1172"/>
      <c r="EV11" s="1172"/>
      <c r="EW11" s="1172"/>
      <c r="EX11" s="1172"/>
      <c r="EY11" s="1172"/>
      <c r="EZ11" s="1172"/>
      <c r="FA11" s="1172"/>
      <c r="FB11" s="1172"/>
      <c r="FC11" s="1172"/>
      <c r="FD11" s="1172"/>
      <c r="FE11" s="1172"/>
      <c r="FF11" s="1172"/>
      <c r="FG11" s="1172"/>
      <c r="FH11" s="1172"/>
      <c r="FI11" s="1172"/>
      <c r="FJ11" s="1172"/>
      <c r="FK11" s="1172"/>
      <c r="FL11" s="1172"/>
      <c r="FM11" s="1172"/>
      <c r="FN11" s="1172"/>
      <c r="FO11" s="1172"/>
      <c r="FP11" s="1172"/>
      <c r="FQ11" s="1172"/>
      <c r="FR11" s="1172"/>
      <c r="FS11" s="1172"/>
      <c r="FT11" s="1172"/>
      <c r="FU11" s="1172"/>
      <c r="FV11" s="1172"/>
      <c r="FW11" s="1172"/>
      <c r="FX11" s="1172"/>
      <c r="FY11" s="1172"/>
      <c r="FZ11" s="1172"/>
      <c r="GA11" s="1172"/>
      <c r="GB11" s="1172"/>
      <c r="GC11" s="1172"/>
      <c r="GD11" s="1172"/>
      <c r="GE11" s="1172"/>
      <c r="GF11" s="1172"/>
      <c r="GG11" s="1172"/>
      <c r="GH11" s="1172"/>
      <c r="GI11" s="1172"/>
      <c r="GJ11" s="1172"/>
      <c r="GK11" s="1172"/>
      <c r="GL11" s="1172"/>
      <c r="GM11" s="1172"/>
      <c r="GN11" s="1172"/>
      <c r="GO11" s="1172"/>
      <c r="GP11" s="1172"/>
      <c r="GQ11" s="1172"/>
      <c r="GR11" s="1172"/>
      <c r="GS11" s="1172"/>
      <c r="GT11" s="1172"/>
      <c r="GU11" s="1172"/>
      <c r="GV11" s="1172"/>
      <c r="GW11" s="1172"/>
      <c r="GX11" s="1172"/>
      <c r="GY11" s="1172"/>
      <c r="GZ11" s="1172"/>
      <c r="HA11" s="1172"/>
      <c r="HB11" s="1172"/>
      <c r="HC11" s="1172"/>
      <c r="HD11" s="1172"/>
      <c r="HE11" s="1172"/>
      <c r="HF11" s="1172"/>
      <c r="HG11" s="1172"/>
      <c r="HH11" s="1172"/>
      <c r="HI11" s="1172"/>
      <c r="HJ11" s="1172"/>
      <c r="HK11" s="1172"/>
      <c r="HL11" s="1172"/>
      <c r="HM11" s="1172"/>
      <c r="HN11" s="1172"/>
      <c r="HO11" s="1172"/>
      <c r="HP11" s="1172"/>
      <c r="HQ11" s="1172"/>
      <c r="HR11" s="1172"/>
      <c r="HS11" s="1172"/>
      <c r="HT11" s="1172"/>
      <c r="HU11" s="1172"/>
      <c r="HV11" s="1172"/>
      <c r="HW11" s="1172"/>
      <c r="HX11" s="1172"/>
      <c r="HY11" s="1172"/>
      <c r="HZ11" s="1172"/>
      <c r="IA11" s="1172"/>
      <c r="IB11" s="1172"/>
      <c r="IC11" s="1172"/>
      <c r="ID11" s="1172"/>
      <c r="IE11" s="1172"/>
      <c r="IF11" s="1172"/>
      <c r="IG11" s="1172"/>
      <c r="IH11" s="1172"/>
      <c r="II11" s="1172"/>
      <c r="IJ11" s="1172"/>
      <c r="IK11" s="1172"/>
      <c r="IL11" s="1172"/>
      <c r="IM11" s="1172"/>
      <c r="IN11" s="1172"/>
      <c r="IO11" s="1172"/>
      <c r="IP11" s="1172"/>
      <c r="IQ11" s="1172"/>
      <c r="IR11" s="1172"/>
      <c r="IS11" s="1172"/>
      <c r="IT11" s="1172"/>
      <c r="IU11" s="1172"/>
      <c r="IV11" s="1172"/>
    </row>
    <row r="12" spans="1:256" ht="30" customHeight="1">
      <c r="A12" s="1177" t="s">
        <v>150</v>
      </c>
      <c r="B12" s="1178">
        <v>117900690</v>
      </c>
      <c r="C12" s="1178"/>
      <c r="D12" s="1178"/>
      <c r="E12" s="1178"/>
      <c r="F12" s="1178"/>
      <c r="G12" s="1178"/>
      <c r="H12" s="1634">
        <f t="shared" si="0"/>
        <v>117900690</v>
      </c>
      <c r="I12" s="1177" t="s">
        <v>78</v>
      </c>
      <c r="J12" s="1178">
        <v>19880656</v>
      </c>
      <c r="K12" s="1636"/>
      <c r="L12" s="1636">
        <v>1057836</v>
      </c>
      <c r="M12" s="1637">
        <v>1410114</v>
      </c>
      <c r="N12" s="1637">
        <v>508048</v>
      </c>
      <c r="O12" s="1636">
        <v>20650698</v>
      </c>
      <c r="P12" s="1635">
        <f t="shared" si="1"/>
        <v>43507352</v>
      </c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2"/>
      <c r="AJ12" s="1172"/>
      <c r="AK12" s="1172"/>
      <c r="AL12" s="1172"/>
      <c r="AM12" s="1172"/>
      <c r="AN12" s="1172"/>
      <c r="AO12" s="1172"/>
      <c r="AP12" s="1172"/>
      <c r="AQ12" s="1172"/>
      <c r="AR12" s="1172"/>
      <c r="AS12" s="1172"/>
      <c r="AT12" s="1172"/>
      <c r="AU12" s="1172"/>
      <c r="AV12" s="1172"/>
      <c r="AW12" s="1172"/>
      <c r="AX12" s="1172"/>
      <c r="AY12" s="1172"/>
      <c r="AZ12" s="1172"/>
      <c r="BA12" s="1172"/>
      <c r="BB12" s="1172"/>
      <c r="BC12" s="1172"/>
      <c r="BD12" s="1172"/>
      <c r="BE12" s="1172"/>
      <c r="BF12" s="1172"/>
      <c r="BG12" s="1172"/>
      <c r="BH12" s="1172"/>
      <c r="BI12" s="1172"/>
      <c r="BJ12" s="1172"/>
      <c r="BK12" s="1172"/>
      <c r="BL12" s="1172"/>
      <c r="BM12" s="1172"/>
      <c r="BN12" s="1172"/>
      <c r="BO12" s="1172"/>
      <c r="BP12" s="1172"/>
      <c r="BQ12" s="1172"/>
      <c r="BR12" s="1172"/>
      <c r="BS12" s="1172"/>
      <c r="BT12" s="1172"/>
      <c r="BU12" s="1172"/>
      <c r="BV12" s="1172"/>
      <c r="BW12" s="1172"/>
      <c r="BX12" s="1172"/>
      <c r="BY12" s="1172"/>
      <c r="BZ12" s="1172"/>
      <c r="CA12" s="1172"/>
      <c r="CB12" s="1172"/>
      <c r="CC12" s="1172"/>
      <c r="CD12" s="1172"/>
      <c r="CE12" s="1172"/>
      <c r="CF12" s="1172"/>
      <c r="CG12" s="1172"/>
      <c r="CH12" s="1172"/>
      <c r="CI12" s="1172"/>
      <c r="CJ12" s="1172"/>
      <c r="CK12" s="1172"/>
      <c r="CL12" s="1172"/>
      <c r="CM12" s="1172"/>
      <c r="CN12" s="1172"/>
      <c r="CO12" s="1172"/>
      <c r="CP12" s="1172"/>
      <c r="CQ12" s="1172"/>
      <c r="CR12" s="1172"/>
      <c r="CS12" s="1172"/>
      <c r="CT12" s="1172"/>
      <c r="CU12" s="1172"/>
      <c r="CV12" s="1172"/>
      <c r="CW12" s="1172"/>
      <c r="CX12" s="1172"/>
      <c r="CY12" s="1172"/>
      <c r="CZ12" s="1172"/>
      <c r="DA12" s="1172"/>
      <c r="DB12" s="1172"/>
      <c r="DC12" s="1172"/>
      <c r="DD12" s="1172"/>
      <c r="DE12" s="1172"/>
      <c r="DF12" s="1172"/>
      <c r="DG12" s="1172"/>
      <c r="DH12" s="1172"/>
      <c r="DI12" s="1172"/>
      <c r="DJ12" s="1172"/>
      <c r="DK12" s="1172"/>
      <c r="DL12" s="1172"/>
      <c r="DM12" s="1172"/>
      <c r="DN12" s="1172"/>
      <c r="DO12" s="1172"/>
      <c r="DP12" s="1172"/>
      <c r="DQ12" s="1172"/>
      <c r="DR12" s="1172"/>
      <c r="DS12" s="1172"/>
      <c r="DT12" s="1172"/>
      <c r="DU12" s="1172"/>
      <c r="DV12" s="1172"/>
      <c r="DW12" s="1172"/>
      <c r="DX12" s="1172"/>
      <c r="DY12" s="1172"/>
      <c r="DZ12" s="1172"/>
      <c r="EA12" s="1172"/>
      <c r="EB12" s="1172"/>
      <c r="EC12" s="1172"/>
      <c r="ED12" s="1172"/>
      <c r="EE12" s="1172"/>
      <c r="EF12" s="1172"/>
      <c r="EG12" s="1172"/>
      <c r="EH12" s="1172"/>
      <c r="EI12" s="1172"/>
      <c r="EJ12" s="1172"/>
      <c r="EK12" s="1172"/>
      <c r="EL12" s="1172"/>
      <c r="EM12" s="1172"/>
      <c r="EN12" s="1172"/>
      <c r="EO12" s="1172"/>
      <c r="EP12" s="1172"/>
      <c r="EQ12" s="1172"/>
      <c r="ER12" s="1172"/>
      <c r="ES12" s="1172"/>
      <c r="ET12" s="1172"/>
      <c r="EU12" s="1172"/>
      <c r="EV12" s="1172"/>
      <c r="EW12" s="1172"/>
      <c r="EX12" s="1172"/>
      <c r="EY12" s="1172"/>
      <c r="EZ12" s="1172"/>
      <c r="FA12" s="1172"/>
      <c r="FB12" s="1172"/>
      <c r="FC12" s="1172"/>
      <c r="FD12" s="1172"/>
      <c r="FE12" s="1172"/>
      <c r="FF12" s="1172"/>
      <c r="FG12" s="1172"/>
      <c r="FH12" s="1172"/>
      <c r="FI12" s="1172"/>
      <c r="FJ12" s="1172"/>
      <c r="FK12" s="1172"/>
      <c r="FL12" s="1172"/>
      <c r="FM12" s="1172"/>
      <c r="FN12" s="1172"/>
      <c r="FO12" s="1172"/>
      <c r="FP12" s="1172"/>
      <c r="FQ12" s="1172"/>
      <c r="FR12" s="1172"/>
      <c r="FS12" s="1172"/>
      <c r="FT12" s="1172"/>
      <c r="FU12" s="1172"/>
      <c r="FV12" s="1172"/>
      <c r="FW12" s="1172"/>
      <c r="FX12" s="1172"/>
      <c r="FY12" s="1172"/>
      <c r="FZ12" s="1172"/>
      <c r="GA12" s="1172"/>
      <c r="GB12" s="1172"/>
      <c r="GC12" s="1172"/>
      <c r="GD12" s="1172"/>
      <c r="GE12" s="1172"/>
      <c r="GF12" s="1172"/>
      <c r="GG12" s="1172"/>
      <c r="GH12" s="1172"/>
      <c r="GI12" s="1172"/>
      <c r="GJ12" s="1172"/>
      <c r="GK12" s="1172"/>
      <c r="GL12" s="1172"/>
      <c r="GM12" s="1172"/>
      <c r="GN12" s="1172"/>
      <c r="GO12" s="1172"/>
      <c r="GP12" s="1172"/>
      <c r="GQ12" s="1172"/>
      <c r="GR12" s="1172"/>
      <c r="GS12" s="1172"/>
      <c r="GT12" s="1172"/>
      <c r="GU12" s="1172"/>
      <c r="GV12" s="1172"/>
      <c r="GW12" s="1172"/>
      <c r="GX12" s="1172"/>
      <c r="GY12" s="1172"/>
      <c r="GZ12" s="1172"/>
      <c r="HA12" s="1172"/>
      <c r="HB12" s="1172"/>
      <c r="HC12" s="1172"/>
      <c r="HD12" s="1172"/>
      <c r="HE12" s="1172"/>
      <c r="HF12" s="1172"/>
      <c r="HG12" s="1172"/>
      <c r="HH12" s="1172"/>
      <c r="HI12" s="1172"/>
      <c r="HJ12" s="1172"/>
      <c r="HK12" s="1172"/>
      <c r="HL12" s="1172"/>
      <c r="HM12" s="1172"/>
      <c r="HN12" s="1172"/>
      <c r="HO12" s="1172"/>
      <c r="HP12" s="1172"/>
      <c r="HQ12" s="1172"/>
      <c r="HR12" s="1172"/>
      <c r="HS12" s="1172"/>
      <c r="HT12" s="1172"/>
      <c r="HU12" s="1172"/>
      <c r="HV12" s="1172"/>
      <c r="HW12" s="1172"/>
      <c r="HX12" s="1172"/>
      <c r="HY12" s="1172"/>
      <c r="HZ12" s="1172"/>
      <c r="IA12" s="1172"/>
      <c r="IB12" s="1172"/>
      <c r="IC12" s="1172"/>
      <c r="ID12" s="1172"/>
      <c r="IE12" s="1172"/>
      <c r="IF12" s="1172"/>
      <c r="IG12" s="1172"/>
      <c r="IH12" s="1172"/>
      <c r="II12" s="1172"/>
      <c r="IJ12" s="1172"/>
      <c r="IK12" s="1172"/>
      <c r="IL12" s="1172"/>
      <c r="IM12" s="1172"/>
      <c r="IN12" s="1172"/>
      <c r="IO12" s="1172"/>
      <c r="IP12" s="1172"/>
      <c r="IQ12" s="1172"/>
      <c r="IR12" s="1172"/>
      <c r="IS12" s="1172"/>
      <c r="IT12" s="1172"/>
      <c r="IU12" s="1172"/>
      <c r="IV12" s="1172"/>
    </row>
    <row r="13" spans="1:256" ht="16.5" customHeight="1">
      <c r="A13" s="1177" t="s">
        <v>206</v>
      </c>
      <c r="B13" s="1178">
        <v>31343308</v>
      </c>
      <c r="C13" s="1178">
        <v>2640000</v>
      </c>
      <c r="D13" s="1178"/>
      <c r="E13" s="1178"/>
      <c r="F13" s="1178"/>
      <c r="G13" s="1178"/>
      <c r="H13" s="1634">
        <f t="shared" si="0"/>
        <v>33983308</v>
      </c>
      <c r="I13" s="1177" t="s">
        <v>189</v>
      </c>
      <c r="J13" s="1178">
        <v>1320741</v>
      </c>
      <c r="K13" s="1636"/>
      <c r="L13" s="1636"/>
      <c r="M13" s="1637">
        <v>186267</v>
      </c>
      <c r="N13" s="1637"/>
      <c r="O13" s="1636"/>
      <c r="P13" s="1635">
        <f t="shared" si="1"/>
        <v>1507008</v>
      </c>
      <c r="Q13" s="1172"/>
      <c r="R13" s="1172"/>
      <c r="S13" s="1172"/>
      <c r="T13" s="1172"/>
      <c r="U13" s="1172"/>
      <c r="V13" s="1172"/>
      <c r="W13" s="1172"/>
      <c r="X13" s="1172"/>
      <c r="Y13" s="1172"/>
      <c r="Z13" s="1172"/>
      <c r="AA13" s="1172"/>
      <c r="AB13" s="1172"/>
      <c r="AC13" s="1172"/>
      <c r="AD13" s="1172"/>
      <c r="AE13" s="1172"/>
      <c r="AF13" s="1172"/>
      <c r="AG13" s="1172"/>
      <c r="AH13" s="1172"/>
      <c r="AI13" s="1172"/>
      <c r="AJ13" s="1172"/>
      <c r="AK13" s="1172"/>
      <c r="AL13" s="1172"/>
      <c r="AM13" s="1172"/>
      <c r="AN13" s="1172"/>
      <c r="AO13" s="1172"/>
      <c r="AP13" s="1172"/>
      <c r="AQ13" s="1172"/>
      <c r="AR13" s="1172"/>
      <c r="AS13" s="1172"/>
      <c r="AT13" s="1172"/>
      <c r="AU13" s="1172"/>
      <c r="AV13" s="1172"/>
      <c r="AW13" s="1172"/>
      <c r="AX13" s="1172"/>
      <c r="AY13" s="1172"/>
      <c r="AZ13" s="1172"/>
      <c r="BA13" s="1172"/>
      <c r="BB13" s="1172"/>
      <c r="BC13" s="1172"/>
      <c r="BD13" s="1172"/>
      <c r="BE13" s="1172"/>
      <c r="BF13" s="1172"/>
      <c r="BG13" s="1172"/>
      <c r="BH13" s="1172"/>
      <c r="BI13" s="1172"/>
      <c r="BJ13" s="1172"/>
      <c r="BK13" s="1172"/>
      <c r="BL13" s="1172"/>
      <c r="BM13" s="1172"/>
      <c r="BN13" s="1172"/>
      <c r="BO13" s="1172"/>
      <c r="BP13" s="1172"/>
      <c r="BQ13" s="1172"/>
      <c r="BR13" s="1172"/>
      <c r="BS13" s="1172"/>
      <c r="BT13" s="1172"/>
      <c r="BU13" s="1172"/>
      <c r="BV13" s="1172"/>
      <c r="BW13" s="1172"/>
      <c r="BX13" s="1172"/>
      <c r="BY13" s="1172"/>
      <c r="BZ13" s="1172"/>
      <c r="CA13" s="1172"/>
      <c r="CB13" s="1172"/>
      <c r="CC13" s="1172"/>
      <c r="CD13" s="1172"/>
      <c r="CE13" s="1172"/>
      <c r="CF13" s="1172"/>
      <c r="CG13" s="1172"/>
      <c r="CH13" s="1172"/>
      <c r="CI13" s="1172"/>
      <c r="CJ13" s="1172"/>
      <c r="CK13" s="1172"/>
      <c r="CL13" s="1172"/>
      <c r="CM13" s="1172"/>
      <c r="CN13" s="1172"/>
      <c r="CO13" s="1172"/>
      <c r="CP13" s="1172"/>
      <c r="CQ13" s="1172"/>
      <c r="CR13" s="1172"/>
      <c r="CS13" s="1172"/>
      <c r="CT13" s="1172"/>
      <c r="CU13" s="1172"/>
      <c r="CV13" s="1172"/>
      <c r="CW13" s="1172"/>
      <c r="CX13" s="1172"/>
      <c r="CY13" s="1172"/>
      <c r="CZ13" s="1172"/>
      <c r="DA13" s="1172"/>
      <c r="DB13" s="1172"/>
      <c r="DC13" s="1172"/>
      <c r="DD13" s="1172"/>
      <c r="DE13" s="1172"/>
      <c r="DF13" s="1172"/>
      <c r="DG13" s="1172"/>
      <c r="DH13" s="1172"/>
      <c r="DI13" s="1172"/>
      <c r="DJ13" s="1172"/>
      <c r="DK13" s="1172"/>
      <c r="DL13" s="1172"/>
      <c r="DM13" s="1172"/>
      <c r="DN13" s="1172"/>
      <c r="DO13" s="1172"/>
      <c r="DP13" s="1172"/>
      <c r="DQ13" s="1172"/>
      <c r="DR13" s="1172"/>
      <c r="DS13" s="1172"/>
      <c r="DT13" s="1172"/>
      <c r="DU13" s="1172"/>
      <c r="DV13" s="1172"/>
      <c r="DW13" s="1172"/>
      <c r="DX13" s="1172"/>
      <c r="DY13" s="1172"/>
      <c r="DZ13" s="1172"/>
      <c r="EA13" s="1172"/>
      <c r="EB13" s="1172"/>
      <c r="EC13" s="1172"/>
      <c r="ED13" s="1172"/>
      <c r="EE13" s="1172"/>
      <c r="EF13" s="1172"/>
      <c r="EG13" s="1172"/>
      <c r="EH13" s="1172"/>
      <c r="EI13" s="1172"/>
      <c r="EJ13" s="1172"/>
      <c r="EK13" s="1172"/>
      <c r="EL13" s="1172"/>
      <c r="EM13" s="1172"/>
      <c r="EN13" s="1172"/>
      <c r="EO13" s="1172"/>
      <c r="EP13" s="1172"/>
      <c r="EQ13" s="1172"/>
      <c r="ER13" s="1172"/>
      <c r="ES13" s="1172"/>
      <c r="ET13" s="1172"/>
      <c r="EU13" s="1172"/>
      <c r="EV13" s="1172"/>
      <c r="EW13" s="1172"/>
      <c r="EX13" s="1172"/>
      <c r="EY13" s="1172"/>
      <c r="EZ13" s="1172"/>
      <c r="FA13" s="1172"/>
      <c r="FB13" s="1172"/>
      <c r="FC13" s="1172"/>
      <c r="FD13" s="1172"/>
      <c r="FE13" s="1172"/>
      <c r="FF13" s="1172"/>
      <c r="FG13" s="1172"/>
      <c r="FH13" s="1172"/>
      <c r="FI13" s="1172"/>
      <c r="FJ13" s="1172"/>
      <c r="FK13" s="1172"/>
      <c r="FL13" s="1172"/>
      <c r="FM13" s="1172"/>
      <c r="FN13" s="1172"/>
      <c r="FO13" s="1172"/>
      <c r="FP13" s="1172"/>
      <c r="FQ13" s="1172"/>
      <c r="FR13" s="1172"/>
      <c r="FS13" s="1172"/>
      <c r="FT13" s="1172"/>
      <c r="FU13" s="1172"/>
      <c r="FV13" s="1172"/>
      <c r="FW13" s="1172"/>
      <c r="FX13" s="1172"/>
      <c r="FY13" s="1172"/>
      <c r="FZ13" s="1172"/>
      <c r="GA13" s="1172"/>
      <c r="GB13" s="1172"/>
      <c r="GC13" s="1172"/>
      <c r="GD13" s="1172"/>
      <c r="GE13" s="1172"/>
      <c r="GF13" s="1172"/>
      <c r="GG13" s="1172"/>
      <c r="GH13" s="1172"/>
      <c r="GI13" s="1172"/>
      <c r="GJ13" s="1172"/>
      <c r="GK13" s="1172"/>
      <c r="GL13" s="1172"/>
      <c r="GM13" s="1172"/>
      <c r="GN13" s="1172"/>
      <c r="GO13" s="1172"/>
      <c r="GP13" s="1172"/>
      <c r="GQ13" s="1172"/>
      <c r="GR13" s="1172"/>
      <c r="GS13" s="1172"/>
      <c r="GT13" s="1172"/>
      <c r="GU13" s="1172"/>
      <c r="GV13" s="1172"/>
      <c r="GW13" s="1172"/>
      <c r="GX13" s="1172"/>
      <c r="GY13" s="1172"/>
      <c r="GZ13" s="1172"/>
      <c r="HA13" s="1172"/>
      <c r="HB13" s="1172"/>
      <c r="HC13" s="1172"/>
      <c r="HD13" s="1172"/>
      <c r="HE13" s="1172"/>
      <c r="HF13" s="1172"/>
      <c r="HG13" s="1172"/>
      <c r="HH13" s="1172"/>
      <c r="HI13" s="1172"/>
      <c r="HJ13" s="1172"/>
      <c r="HK13" s="1172"/>
      <c r="HL13" s="1172"/>
      <c r="HM13" s="1172"/>
      <c r="HN13" s="1172"/>
      <c r="HO13" s="1172"/>
      <c r="HP13" s="1172"/>
      <c r="HQ13" s="1172"/>
      <c r="HR13" s="1172"/>
      <c r="HS13" s="1172"/>
      <c r="HT13" s="1172"/>
      <c r="HU13" s="1172"/>
      <c r="HV13" s="1172"/>
      <c r="HW13" s="1172"/>
      <c r="HX13" s="1172"/>
      <c r="HY13" s="1172"/>
      <c r="HZ13" s="1172"/>
      <c r="IA13" s="1172"/>
      <c r="IB13" s="1172"/>
      <c r="IC13" s="1172"/>
      <c r="ID13" s="1172"/>
      <c r="IE13" s="1172"/>
      <c r="IF13" s="1172"/>
      <c r="IG13" s="1172"/>
      <c r="IH13" s="1172"/>
      <c r="II13" s="1172"/>
      <c r="IJ13" s="1172"/>
      <c r="IK13" s="1172"/>
      <c r="IL13" s="1172"/>
      <c r="IM13" s="1172"/>
      <c r="IN13" s="1172"/>
      <c r="IO13" s="1172"/>
      <c r="IP13" s="1172"/>
      <c r="IQ13" s="1172"/>
      <c r="IR13" s="1172"/>
      <c r="IS13" s="1172"/>
      <c r="IT13" s="1172"/>
      <c r="IU13" s="1172"/>
      <c r="IV13" s="1172"/>
    </row>
    <row r="14" spans="1:256" ht="22.5">
      <c r="A14" s="1177" t="s">
        <v>700</v>
      </c>
      <c r="B14" s="1178"/>
      <c r="C14" s="1178"/>
      <c r="D14" s="1178"/>
      <c r="E14" s="1178"/>
      <c r="F14" s="1178"/>
      <c r="G14" s="1178"/>
      <c r="H14" s="1634">
        <f t="shared" si="0"/>
        <v>0</v>
      </c>
      <c r="I14" s="1177" t="s">
        <v>701</v>
      </c>
      <c r="J14" s="1178"/>
      <c r="K14" s="1636"/>
      <c r="L14" s="1636"/>
      <c r="M14" s="1637"/>
      <c r="N14" s="1637"/>
      <c r="O14" s="1636"/>
      <c r="P14" s="1635">
        <f t="shared" si="1"/>
        <v>0</v>
      </c>
      <c r="Q14" s="1172"/>
      <c r="R14" s="1172"/>
      <c r="S14" s="1172"/>
      <c r="T14" s="1172"/>
      <c r="U14" s="1172"/>
      <c r="V14" s="1172"/>
      <c r="W14" s="1172"/>
      <c r="X14" s="1172"/>
      <c r="Y14" s="1172"/>
      <c r="Z14" s="1172"/>
      <c r="AA14" s="1172"/>
      <c r="AB14" s="1172"/>
      <c r="AC14" s="1172"/>
      <c r="AD14" s="1172"/>
      <c r="AE14" s="1172"/>
      <c r="AF14" s="1172"/>
      <c r="AG14" s="1172"/>
      <c r="AH14" s="1172"/>
      <c r="AI14" s="1172"/>
      <c r="AJ14" s="1172"/>
      <c r="AK14" s="1172"/>
      <c r="AL14" s="1172"/>
      <c r="AM14" s="1172"/>
      <c r="AN14" s="1172"/>
      <c r="AO14" s="1172"/>
      <c r="AP14" s="1172"/>
      <c r="AQ14" s="1172"/>
      <c r="AR14" s="1172"/>
      <c r="AS14" s="1172"/>
      <c r="AT14" s="1172"/>
      <c r="AU14" s="1172"/>
      <c r="AV14" s="1172"/>
      <c r="AW14" s="1172"/>
      <c r="AX14" s="1172"/>
      <c r="AY14" s="1172"/>
      <c r="AZ14" s="1172"/>
      <c r="BA14" s="1172"/>
      <c r="BB14" s="1172"/>
      <c r="BC14" s="1172"/>
      <c r="BD14" s="1172"/>
      <c r="BE14" s="1172"/>
      <c r="BF14" s="1172"/>
      <c r="BG14" s="1172"/>
      <c r="BH14" s="1172"/>
      <c r="BI14" s="1172"/>
      <c r="BJ14" s="1172"/>
      <c r="BK14" s="1172"/>
      <c r="BL14" s="1172"/>
      <c r="BM14" s="1172"/>
      <c r="BN14" s="1172"/>
      <c r="BO14" s="1172"/>
      <c r="BP14" s="1172"/>
      <c r="BQ14" s="1172"/>
      <c r="BR14" s="1172"/>
      <c r="BS14" s="1172"/>
      <c r="BT14" s="1172"/>
      <c r="BU14" s="1172"/>
      <c r="BV14" s="1172"/>
      <c r="BW14" s="1172"/>
      <c r="BX14" s="1172"/>
      <c r="BY14" s="1172"/>
      <c r="BZ14" s="1172"/>
      <c r="CA14" s="1172"/>
      <c r="CB14" s="1172"/>
      <c r="CC14" s="1172"/>
      <c r="CD14" s="1172"/>
      <c r="CE14" s="1172"/>
      <c r="CF14" s="1172"/>
      <c r="CG14" s="1172"/>
      <c r="CH14" s="1172"/>
      <c r="CI14" s="1172"/>
      <c r="CJ14" s="1172"/>
      <c r="CK14" s="1172"/>
      <c r="CL14" s="1172"/>
      <c r="CM14" s="1172"/>
      <c r="CN14" s="1172"/>
      <c r="CO14" s="1172"/>
      <c r="CP14" s="1172"/>
      <c r="CQ14" s="1172"/>
      <c r="CR14" s="1172"/>
      <c r="CS14" s="1172"/>
      <c r="CT14" s="1172"/>
      <c r="CU14" s="1172"/>
      <c r="CV14" s="1172"/>
      <c r="CW14" s="1172"/>
      <c r="CX14" s="1172"/>
      <c r="CY14" s="1172"/>
      <c r="CZ14" s="1172"/>
      <c r="DA14" s="1172"/>
      <c r="DB14" s="1172"/>
      <c r="DC14" s="1172"/>
      <c r="DD14" s="1172"/>
      <c r="DE14" s="1172"/>
      <c r="DF14" s="1172"/>
      <c r="DG14" s="1172"/>
      <c r="DH14" s="1172"/>
      <c r="DI14" s="1172"/>
      <c r="DJ14" s="1172"/>
      <c r="DK14" s="1172"/>
      <c r="DL14" s="1172"/>
      <c r="DM14" s="1172"/>
      <c r="DN14" s="1172"/>
      <c r="DO14" s="1172"/>
      <c r="DP14" s="1172"/>
      <c r="DQ14" s="1172"/>
      <c r="DR14" s="1172"/>
      <c r="DS14" s="1172"/>
      <c r="DT14" s="1172"/>
      <c r="DU14" s="1172"/>
      <c r="DV14" s="1172"/>
      <c r="DW14" s="1172"/>
      <c r="DX14" s="1172"/>
      <c r="DY14" s="1172"/>
      <c r="DZ14" s="1172"/>
      <c r="EA14" s="1172"/>
      <c r="EB14" s="1172"/>
      <c r="EC14" s="1172"/>
      <c r="ED14" s="1172"/>
      <c r="EE14" s="1172"/>
      <c r="EF14" s="1172"/>
      <c r="EG14" s="1172"/>
      <c r="EH14" s="1172"/>
      <c r="EI14" s="1172"/>
      <c r="EJ14" s="1172"/>
      <c r="EK14" s="1172"/>
      <c r="EL14" s="1172"/>
      <c r="EM14" s="1172"/>
      <c r="EN14" s="1172"/>
      <c r="EO14" s="1172"/>
      <c r="EP14" s="1172"/>
      <c r="EQ14" s="1172"/>
      <c r="ER14" s="1172"/>
      <c r="ES14" s="1172"/>
      <c r="ET14" s="1172"/>
      <c r="EU14" s="1172"/>
      <c r="EV14" s="1172"/>
      <c r="EW14" s="1172"/>
      <c r="EX14" s="1172"/>
      <c r="EY14" s="1172"/>
      <c r="EZ14" s="1172"/>
      <c r="FA14" s="1172"/>
      <c r="FB14" s="1172"/>
      <c r="FC14" s="1172"/>
      <c r="FD14" s="1172"/>
      <c r="FE14" s="1172"/>
      <c r="FF14" s="1172"/>
      <c r="FG14" s="1172"/>
      <c r="FH14" s="1172"/>
      <c r="FI14" s="1172"/>
      <c r="FJ14" s="1172"/>
      <c r="FK14" s="1172"/>
      <c r="FL14" s="1172"/>
      <c r="FM14" s="1172"/>
      <c r="FN14" s="1172"/>
      <c r="FO14" s="1172"/>
      <c r="FP14" s="1172"/>
      <c r="FQ14" s="1172"/>
      <c r="FR14" s="1172"/>
      <c r="FS14" s="1172"/>
      <c r="FT14" s="1172"/>
      <c r="FU14" s="1172"/>
      <c r="FV14" s="1172"/>
      <c r="FW14" s="1172"/>
      <c r="FX14" s="1172"/>
      <c r="FY14" s="1172"/>
      <c r="FZ14" s="1172"/>
      <c r="GA14" s="1172"/>
      <c r="GB14" s="1172"/>
      <c r="GC14" s="1172"/>
      <c r="GD14" s="1172"/>
      <c r="GE14" s="1172"/>
      <c r="GF14" s="1172"/>
      <c r="GG14" s="1172"/>
      <c r="GH14" s="1172"/>
      <c r="GI14" s="1172"/>
      <c r="GJ14" s="1172"/>
      <c r="GK14" s="1172"/>
      <c r="GL14" s="1172"/>
      <c r="GM14" s="1172"/>
      <c r="GN14" s="1172"/>
      <c r="GO14" s="1172"/>
      <c r="GP14" s="1172"/>
      <c r="GQ14" s="1172"/>
      <c r="GR14" s="1172"/>
      <c r="GS14" s="1172"/>
      <c r="GT14" s="1172"/>
      <c r="GU14" s="1172"/>
      <c r="GV14" s="1172"/>
      <c r="GW14" s="1172"/>
      <c r="GX14" s="1172"/>
      <c r="GY14" s="1172"/>
      <c r="GZ14" s="1172"/>
      <c r="HA14" s="1172"/>
      <c r="HB14" s="1172"/>
      <c r="HC14" s="1172"/>
      <c r="HD14" s="1172"/>
      <c r="HE14" s="1172"/>
      <c r="HF14" s="1172"/>
      <c r="HG14" s="1172"/>
      <c r="HH14" s="1172"/>
      <c r="HI14" s="1172"/>
      <c r="HJ14" s="1172"/>
      <c r="HK14" s="1172"/>
      <c r="HL14" s="1172"/>
      <c r="HM14" s="1172"/>
      <c r="HN14" s="1172"/>
      <c r="HO14" s="1172"/>
      <c r="HP14" s="1172"/>
      <c r="HQ14" s="1172"/>
      <c r="HR14" s="1172"/>
      <c r="HS14" s="1172"/>
      <c r="HT14" s="1172"/>
      <c r="HU14" s="1172"/>
      <c r="HV14" s="1172"/>
      <c r="HW14" s="1172"/>
      <c r="HX14" s="1172"/>
      <c r="HY14" s="1172"/>
      <c r="HZ14" s="1172"/>
      <c r="IA14" s="1172"/>
      <c r="IB14" s="1172"/>
      <c r="IC14" s="1172"/>
      <c r="ID14" s="1172"/>
      <c r="IE14" s="1172"/>
      <c r="IF14" s="1172"/>
      <c r="IG14" s="1172"/>
      <c r="IH14" s="1172"/>
      <c r="II14" s="1172"/>
      <c r="IJ14" s="1172"/>
      <c r="IK14" s="1172"/>
      <c r="IL14" s="1172"/>
      <c r="IM14" s="1172"/>
      <c r="IN14" s="1172"/>
      <c r="IO14" s="1172"/>
      <c r="IP14" s="1172"/>
      <c r="IQ14" s="1172"/>
      <c r="IR14" s="1172"/>
      <c r="IS14" s="1172"/>
      <c r="IT14" s="1172"/>
      <c r="IU14" s="1172"/>
      <c r="IV14" s="1172"/>
    </row>
    <row r="15" spans="1:256" ht="24" customHeight="1">
      <c r="A15" s="1177" t="s">
        <v>287</v>
      </c>
      <c r="B15" s="1178">
        <v>10321373</v>
      </c>
      <c r="C15" s="1178"/>
      <c r="D15" s="1178"/>
      <c r="E15" s="1178"/>
      <c r="F15" s="1178"/>
      <c r="G15" s="1178"/>
      <c r="H15" s="1634">
        <f t="shared" si="0"/>
        <v>10321373</v>
      </c>
      <c r="I15" s="1177" t="s">
        <v>497</v>
      </c>
      <c r="J15" s="1181">
        <v>10623632</v>
      </c>
      <c r="K15" s="1636"/>
      <c r="L15" s="1638"/>
      <c r="M15" s="1637"/>
      <c r="N15" s="1637"/>
      <c r="O15" s="1638"/>
      <c r="P15" s="1635">
        <f t="shared" si="1"/>
        <v>10623632</v>
      </c>
      <c r="Q15" s="1172"/>
      <c r="R15" s="1172"/>
      <c r="S15" s="1172"/>
      <c r="T15" s="1172"/>
      <c r="U15" s="1172"/>
      <c r="V15" s="1172"/>
      <c r="W15" s="1172"/>
      <c r="X15" s="1172"/>
      <c r="Y15" s="1172"/>
      <c r="Z15" s="1172"/>
      <c r="AA15" s="1172"/>
      <c r="AB15" s="1172"/>
      <c r="AC15" s="1172"/>
      <c r="AD15" s="1172"/>
      <c r="AE15" s="1172"/>
      <c r="AF15" s="1172"/>
      <c r="AG15" s="1172"/>
      <c r="AH15" s="1172"/>
      <c r="AI15" s="1172"/>
      <c r="AJ15" s="1172"/>
      <c r="AK15" s="1172"/>
      <c r="AL15" s="1172"/>
      <c r="AM15" s="1172"/>
      <c r="AN15" s="1172"/>
      <c r="AO15" s="1172"/>
      <c r="AP15" s="1172"/>
      <c r="AQ15" s="1172"/>
      <c r="AR15" s="1172"/>
      <c r="AS15" s="1172"/>
      <c r="AT15" s="1172"/>
      <c r="AU15" s="1172"/>
      <c r="AV15" s="1172"/>
      <c r="AW15" s="1172"/>
      <c r="AX15" s="1172"/>
      <c r="AY15" s="1172"/>
      <c r="AZ15" s="1172"/>
      <c r="BA15" s="1172"/>
      <c r="BB15" s="1172"/>
      <c r="BC15" s="1172"/>
      <c r="BD15" s="1172"/>
      <c r="BE15" s="1172"/>
      <c r="BF15" s="1172"/>
      <c r="BG15" s="1172"/>
      <c r="BH15" s="1172"/>
      <c r="BI15" s="1172"/>
      <c r="BJ15" s="1172"/>
      <c r="BK15" s="1172"/>
      <c r="BL15" s="1172"/>
      <c r="BM15" s="1172"/>
      <c r="BN15" s="1172"/>
      <c r="BO15" s="1172"/>
      <c r="BP15" s="1172"/>
      <c r="BQ15" s="1172"/>
      <c r="BR15" s="1172"/>
      <c r="BS15" s="1172"/>
      <c r="BT15" s="1172"/>
      <c r="BU15" s="1172"/>
      <c r="BV15" s="1172"/>
      <c r="BW15" s="1172"/>
      <c r="BX15" s="1172"/>
      <c r="BY15" s="1172"/>
      <c r="BZ15" s="1172"/>
      <c r="CA15" s="1172"/>
      <c r="CB15" s="1172"/>
      <c r="CC15" s="1172"/>
      <c r="CD15" s="1172"/>
      <c r="CE15" s="1172"/>
      <c r="CF15" s="1172"/>
      <c r="CG15" s="1172"/>
      <c r="CH15" s="1172"/>
      <c r="CI15" s="1172"/>
      <c r="CJ15" s="1172"/>
      <c r="CK15" s="1172"/>
      <c r="CL15" s="1172"/>
      <c r="CM15" s="1172"/>
      <c r="CN15" s="1172"/>
      <c r="CO15" s="1172"/>
      <c r="CP15" s="1172"/>
      <c r="CQ15" s="1172"/>
      <c r="CR15" s="1172"/>
      <c r="CS15" s="1172"/>
      <c r="CT15" s="1172"/>
      <c r="CU15" s="1172"/>
      <c r="CV15" s="1172"/>
      <c r="CW15" s="1172"/>
      <c r="CX15" s="1172"/>
      <c r="CY15" s="1172"/>
      <c r="CZ15" s="1172"/>
      <c r="DA15" s="1172"/>
      <c r="DB15" s="1172"/>
      <c r="DC15" s="1172"/>
      <c r="DD15" s="1172"/>
      <c r="DE15" s="1172"/>
      <c r="DF15" s="1172"/>
      <c r="DG15" s="1172"/>
      <c r="DH15" s="1172"/>
      <c r="DI15" s="1172"/>
      <c r="DJ15" s="1172"/>
      <c r="DK15" s="1172"/>
      <c r="DL15" s="1172"/>
      <c r="DM15" s="1172"/>
      <c r="DN15" s="1172"/>
      <c r="DO15" s="1172"/>
      <c r="DP15" s="1172"/>
      <c r="DQ15" s="1172"/>
      <c r="DR15" s="1172"/>
      <c r="DS15" s="1172"/>
      <c r="DT15" s="1172"/>
      <c r="DU15" s="1172"/>
      <c r="DV15" s="1172"/>
      <c r="DW15" s="1172"/>
      <c r="DX15" s="1172"/>
      <c r="DY15" s="1172"/>
      <c r="DZ15" s="1172"/>
      <c r="EA15" s="1172"/>
      <c r="EB15" s="1172"/>
      <c r="EC15" s="1172"/>
      <c r="ED15" s="1172"/>
      <c r="EE15" s="1172"/>
      <c r="EF15" s="1172"/>
      <c r="EG15" s="1172"/>
      <c r="EH15" s="1172"/>
      <c r="EI15" s="1172"/>
      <c r="EJ15" s="1172"/>
      <c r="EK15" s="1172"/>
      <c r="EL15" s="1172"/>
      <c r="EM15" s="1172"/>
      <c r="EN15" s="1172"/>
      <c r="EO15" s="1172"/>
      <c r="EP15" s="1172"/>
      <c r="EQ15" s="1172"/>
      <c r="ER15" s="1172"/>
      <c r="ES15" s="1172"/>
      <c r="ET15" s="1172"/>
      <c r="EU15" s="1172"/>
      <c r="EV15" s="1172"/>
      <c r="EW15" s="1172"/>
      <c r="EX15" s="1172"/>
      <c r="EY15" s="1172"/>
      <c r="EZ15" s="1172"/>
      <c r="FA15" s="1172"/>
      <c r="FB15" s="1172"/>
      <c r="FC15" s="1172"/>
      <c r="FD15" s="1172"/>
      <c r="FE15" s="1172"/>
      <c r="FF15" s="1172"/>
      <c r="FG15" s="1172"/>
      <c r="FH15" s="1172"/>
      <c r="FI15" s="1172"/>
      <c r="FJ15" s="1172"/>
      <c r="FK15" s="1172"/>
      <c r="FL15" s="1172"/>
      <c r="FM15" s="1172"/>
      <c r="FN15" s="1172"/>
      <c r="FO15" s="1172"/>
      <c r="FP15" s="1172"/>
      <c r="FQ15" s="1172"/>
      <c r="FR15" s="1172"/>
      <c r="FS15" s="1172"/>
      <c r="FT15" s="1172"/>
      <c r="FU15" s="1172"/>
      <c r="FV15" s="1172"/>
      <c r="FW15" s="1172"/>
      <c r="FX15" s="1172"/>
      <c r="FY15" s="1172"/>
      <c r="FZ15" s="1172"/>
      <c r="GA15" s="1172"/>
      <c r="GB15" s="1172"/>
      <c r="GC15" s="1172"/>
      <c r="GD15" s="1172"/>
      <c r="GE15" s="1172"/>
      <c r="GF15" s="1172"/>
      <c r="GG15" s="1172"/>
      <c r="GH15" s="1172"/>
      <c r="GI15" s="1172"/>
      <c r="GJ15" s="1172"/>
      <c r="GK15" s="1172"/>
      <c r="GL15" s="1172"/>
      <c r="GM15" s="1172"/>
      <c r="GN15" s="1172"/>
      <c r="GO15" s="1172"/>
      <c r="GP15" s="1172"/>
      <c r="GQ15" s="1172"/>
      <c r="GR15" s="1172"/>
      <c r="GS15" s="1172"/>
      <c r="GT15" s="1172"/>
      <c r="GU15" s="1172"/>
      <c r="GV15" s="1172"/>
      <c r="GW15" s="1172"/>
      <c r="GX15" s="1172"/>
      <c r="GY15" s="1172"/>
      <c r="GZ15" s="1172"/>
      <c r="HA15" s="1172"/>
      <c r="HB15" s="1172"/>
      <c r="HC15" s="1172"/>
      <c r="HD15" s="1172"/>
      <c r="HE15" s="1172"/>
      <c r="HF15" s="1172"/>
      <c r="HG15" s="1172"/>
      <c r="HH15" s="1172"/>
      <c r="HI15" s="1172"/>
      <c r="HJ15" s="1172"/>
      <c r="HK15" s="1172"/>
      <c r="HL15" s="1172"/>
      <c r="HM15" s="1172"/>
      <c r="HN15" s="1172"/>
      <c r="HO15" s="1172"/>
      <c r="HP15" s="1172"/>
      <c r="HQ15" s="1172"/>
      <c r="HR15" s="1172"/>
      <c r="HS15" s="1172"/>
      <c r="HT15" s="1172"/>
      <c r="HU15" s="1172"/>
      <c r="HV15" s="1172"/>
      <c r="HW15" s="1172"/>
      <c r="HX15" s="1172"/>
      <c r="HY15" s="1172"/>
      <c r="HZ15" s="1172"/>
      <c r="IA15" s="1172"/>
      <c r="IB15" s="1172"/>
      <c r="IC15" s="1172"/>
      <c r="ID15" s="1172"/>
      <c r="IE15" s="1172"/>
      <c r="IF15" s="1172"/>
      <c r="IG15" s="1172"/>
      <c r="IH15" s="1172"/>
      <c r="II15" s="1172"/>
      <c r="IJ15" s="1172"/>
      <c r="IK15" s="1172"/>
      <c r="IL15" s="1172"/>
      <c r="IM15" s="1172"/>
      <c r="IN15" s="1172"/>
      <c r="IO15" s="1172"/>
      <c r="IP15" s="1172"/>
      <c r="IQ15" s="1172"/>
      <c r="IR15" s="1172"/>
      <c r="IS15" s="1172"/>
      <c r="IT15" s="1172"/>
      <c r="IU15" s="1172"/>
      <c r="IV15" s="1172"/>
    </row>
    <row r="16" spans="1:256" ht="24" customHeight="1">
      <c r="A16" s="1177" t="s">
        <v>933</v>
      </c>
      <c r="B16" s="1178">
        <v>53488</v>
      </c>
      <c r="C16" s="1178"/>
      <c r="D16" s="1178"/>
      <c r="E16" s="1178"/>
      <c r="F16" s="1178"/>
      <c r="G16" s="1178"/>
      <c r="H16" s="1634">
        <f t="shared" si="0"/>
        <v>53488</v>
      </c>
      <c r="I16" s="1177"/>
      <c r="J16" s="1181"/>
      <c r="K16" s="1636"/>
      <c r="L16" s="1638"/>
      <c r="M16" s="1637"/>
      <c r="N16" s="1637"/>
      <c r="O16" s="1638"/>
      <c r="P16" s="1635"/>
      <c r="Q16" s="1172"/>
      <c r="R16" s="1172"/>
      <c r="S16" s="1172"/>
      <c r="T16" s="1172"/>
      <c r="U16" s="1172"/>
      <c r="V16" s="1172"/>
      <c r="W16" s="1172"/>
      <c r="X16" s="1172"/>
      <c r="Y16" s="1172"/>
      <c r="Z16" s="1172"/>
      <c r="AA16" s="1172"/>
      <c r="AB16" s="1172"/>
      <c r="AC16" s="1172"/>
      <c r="AD16" s="1172"/>
      <c r="AE16" s="1172"/>
      <c r="AF16" s="1172"/>
      <c r="AG16" s="1172"/>
      <c r="AH16" s="1172"/>
      <c r="AI16" s="1172"/>
      <c r="AJ16" s="1172"/>
      <c r="AK16" s="1172"/>
      <c r="AL16" s="1172"/>
      <c r="AM16" s="1172"/>
      <c r="AN16" s="1172"/>
      <c r="AO16" s="1172"/>
      <c r="AP16" s="1172"/>
      <c r="AQ16" s="1172"/>
      <c r="AR16" s="1172"/>
      <c r="AS16" s="1172"/>
      <c r="AT16" s="1172"/>
      <c r="AU16" s="1172"/>
      <c r="AV16" s="1172"/>
      <c r="AW16" s="1172"/>
      <c r="AX16" s="1172"/>
      <c r="AY16" s="1172"/>
      <c r="AZ16" s="1172"/>
      <c r="BA16" s="1172"/>
      <c r="BB16" s="1172"/>
      <c r="BC16" s="1172"/>
      <c r="BD16" s="1172"/>
      <c r="BE16" s="1172"/>
      <c r="BF16" s="1172"/>
      <c r="BG16" s="1172"/>
      <c r="BH16" s="1172"/>
      <c r="BI16" s="1172"/>
      <c r="BJ16" s="1172"/>
      <c r="BK16" s="1172"/>
      <c r="BL16" s="1172"/>
      <c r="BM16" s="1172"/>
      <c r="BN16" s="1172"/>
      <c r="BO16" s="1172"/>
      <c r="BP16" s="1172"/>
      <c r="BQ16" s="1172"/>
      <c r="BR16" s="1172"/>
      <c r="BS16" s="1172"/>
      <c r="BT16" s="1172"/>
      <c r="BU16" s="1172"/>
      <c r="BV16" s="1172"/>
      <c r="BW16" s="1172"/>
      <c r="BX16" s="1172"/>
      <c r="BY16" s="1172"/>
      <c r="BZ16" s="1172"/>
      <c r="CA16" s="1172"/>
      <c r="CB16" s="1172"/>
      <c r="CC16" s="1172"/>
      <c r="CD16" s="1172"/>
      <c r="CE16" s="1172"/>
      <c r="CF16" s="1172"/>
      <c r="CG16" s="1172"/>
      <c r="CH16" s="1172"/>
      <c r="CI16" s="1172"/>
      <c r="CJ16" s="1172"/>
      <c r="CK16" s="1172"/>
      <c r="CL16" s="1172"/>
      <c r="CM16" s="1172"/>
      <c r="CN16" s="1172"/>
      <c r="CO16" s="1172"/>
      <c r="CP16" s="1172"/>
      <c r="CQ16" s="1172"/>
      <c r="CR16" s="1172"/>
      <c r="CS16" s="1172"/>
      <c r="CT16" s="1172"/>
      <c r="CU16" s="1172"/>
      <c r="CV16" s="1172"/>
      <c r="CW16" s="1172"/>
      <c r="CX16" s="1172"/>
      <c r="CY16" s="1172"/>
      <c r="CZ16" s="1172"/>
      <c r="DA16" s="1172"/>
      <c r="DB16" s="1172"/>
      <c r="DC16" s="1172"/>
      <c r="DD16" s="1172"/>
      <c r="DE16" s="1172"/>
      <c r="DF16" s="1172"/>
      <c r="DG16" s="1172"/>
      <c r="DH16" s="1172"/>
      <c r="DI16" s="1172"/>
      <c r="DJ16" s="1172"/>
      <c r="DK16" s="1172"/>
      <c r="DL16" s="1172"/>
      <c r="DM16" s="1172"/>
      <c r="DN16" s="1172"/>
      <c r="DO16" s="1172"/>
      <c r="DP16" s="1172"/>
      <c r="DQ16" s="1172"/>
      <c r="DR16" s="1172"/>
      <c r="DS16" s="1172"/>
      <c r="DT16" s="1172"/>
      <c r="DU16" s="1172"/>
      <c r="DV16" s="1172"/>
      <c r="DW16" s="1172"/>
      <c r="DX16" s="1172"/>
      <c r="DY16" s="1172"/>
      <c r="DZ16" s="1172"/>
      <c r="EA16" s="1172"/>
      <c r="EB16" s="1172"/>
      <c r="EC16" s="1172"/>
      <c r="ED16" s="1172"/>
      <c r="EE16" s="1172"/>
      <c r="EF16" s="1172"/>
      <c r="EG16" s="1172"/>
      <c r="EH16" s="1172"/>
      <c r="EI16" s="1172"/>
      <c r="EJ16" s="1172"/>
      <c r="EK16" s="1172"/>
      <c r="EL16" s="1172"/>
      <c r="EM16" s="1172"/>
      <c r="EN16" s="1172"/>
      <c r="EO16" s="1172"/>
      <c r="EP16" s="1172"/>
      <c r="EQ16" s="1172"/>
      <c r="ER16" s="1172"/>
      <c r="ES16" s="1172"/>
      <c r="ET16" s="1172"/>
      <c r="EU16" s="1172"/>
      <c r="EV16" s="1172"/>
      <c r="EW16" s="1172"/>
      <c r="EX16" s="1172"/>
      <c r="EY16" s="1172"/>
      <c r="EZ16" s="1172"/>
      <c r="FA16" s="1172"/>
      <c r="FB16" s="1172"/>
      <c r="FC16" s="1172"/>
      <c r="FD16" s="1172"/>
      <c r="FE16" s="1172"/>
      <c r="FF16" s="1172"/>
      <c r="FG16" s="1172"/>
      <c r="FH16" s="1172"/>
      <c r="FI16" s="1172"/>
      <c r="FJ16" s="1172"/>
      <c r="FK16" s="1172"/>
      <c r="FL16" s="1172"/>
      <c r="FM16" s="1172"/>
      <c r="FN16" s="1172"/>
      <c r="FO16" s="1172"/>
      <c r="FP16" s="1172"/>
      <c r="FQ16" s="1172"/>
      <c r="FR16" s="1172"/>
      <c r="FS16" s="1172"/>
      <c r="FT16" s="1172"/>
      <c r="FU16" s="1172"/>
      <c r="FV16" s="1172"/>
      <c r="FW16" s="1172"/>
      <c r="FX16" s="1172"/>
      <c r="FY16" s="1172"/>
      <c r="FZ16" s="1172"/>
      <c r="GA16" s="1172"/>
      <c r="GB16" s="1172"/>
      <c r="GC16" s="1172"/>
      <c r="GD16" s="1172"/>
      <c r="GE16" s="1172"/>
      <c r="GF16" s="1172"/>
      <c r="GG16" s="1172"/>
      <c r="GH16" s="1172"/>
      <c r="GI16" s="1172"/>
      <c r="GJ16" s="1172"/>
      <c r="GK16" s="1172"/>
      <c r="GL16" s="1172"/>
      <c r="GM16" s="1172"/>
      <c r="GN16" s="1172"/>
      <c r="GO16" s="1172"/>
      <c r="GP16" s="1172"/>
      <c r="GQ16" s="1172"/>
      <c r="GR16" s="1172"/>
      <c r="GS16" s="1172"/>
      <c r="GT16" s="1172"/>
      <c r="GU16" s="1172"/>
      <c r="GV16" s="1172"/>
      <c r="GW16" s="1172"/>
      <c r="GX16" s="1172"/>
      <c r="GY16" s="1172"/>
      <c r="GZ16" s="1172"/>
      <c r="HA16" s="1172"/>
      <c r="HB16" s="1172"/>
      <c r="HC16" s="1172"/>
      <c r="HD16" s="1172"/>
      <c r="HE16" s="1172"/>
      <c r="HF16" s="1172"/>
      <c r="HG16" s="1172"/>
      <c r="HH16" s="1172"/>
      <c r="HI16" s="1172"/>
      <c r="HJ16" s="1172"/>
      <c r="HK16" s="1172"/>
      <c r="HL16" s="1172"/>
      <c r="HM16" s="1172"/>
      <c r="HN16" s="1172"/>
      <c r="HO16" s="1172"/>
      <c r="HP16" s="1172"/>
      <c r="HQ16" s="1172"/>
      <c r="HR16" s="1172"/>
      <c r="HS16" s="1172"/>
      <c r="HT16" s="1172"/>
      <c r="HU16" s="1172"/>
      <c r="HV16" s="1172"/>
      <c r="HW16" s="1172"/>
      <c r="HX16" s="1172"/>
      <c r="HY16" s="1172"/>
      <c r="HZ16" s="1172"/>
      <c r="IA16" s="1172"/>
      <c r="IB16" s="1172"/>
      <c r="IC16" s="1172"/>
      <c r="ID16" s="1172"/>
      <c r="IE16" s="1172"/>
      <c r="IF16" s="1172"/>
      <c r="IG16" s="1172"/>
      <c r="IH16" s="1172"/>
      <c r="II16" s="1172"/>
      <c r="IJ16" s="1172"/>
      <c r="IK16" s="1172"/>
      <c r="IL16" s="1172"/>
      <c r="IM16" s="1172"/>
      <c r="IN16" s="1172"/>
      <c r="IO16" s="1172"/>
      <c r="IP16" s="1172"/>
      <c r="IQ16" s="1172"/>
      <c r="IR16" s="1172"/>
      <c r="IS16" s="1172"/>
      <c r="IT16" s="1172"/>
      <c r="IU16" s="1172"/>
      <c r="IV16" s="1172"/>
    </row>
    <row r="17" spans="1:256" ht="24" customHeight="1">
      <c r="A17" s="1177" t="s">
        <v>213</v>
      </c>
      <c r="B17" s="1178">
        <v>270216255</v>
      </c>
      <c r="C17" s="1178"/>
      <c r="D17" s="1178"/>
      <c r="E17" s="1178"/>
      <c r="F17" s="1178"/>
      <c r="G17" s="1178"/>
      <c r="H17" s="1178">
        <f t="shared" si="0"/>
        <v>270216255</v>
      </c>
      <c r="I17" s="1177" t="s">
        <v>702</v>
      </c>
      <c r="J17" s="1181"/>
      <c r="K17" s="1636"/>
      <c r="L17" s="1639">
        <v>674164</v>
      </c>
      <c r="M17" s="1637">
        <v>361142</v>
      </c>
      <c r="N17" s="1637"/>
      <c r="O17" s="1639">
        <v>2328530</v>
      </c>
      <c r="P17" s="1635">
        <f t="shared" si="1"/>
        <v>3363836</v>
      </c>
      <c r="Q17" s="1172"/>
      <c r="R17" s="1172"/>
      <c r="S17" s="1172"/>
      <c r="T17" s="1172"/>
      <c r="U17" s="1172"/>
      <c r="V17" s="1172"/>
      <c r="W17" s="1172"/>
      <c r="X17" s="1172"/>
      <c r="Y17" s="1172"/>
      <c r="Z17" s="1172"/>
      <c r="AA17" s="1172"/>
      <c r="AB17" s="1172"/>
      <c r="AC17" s="1172"/>
      <c r="AD17" s="1172"/>
      <c r="AE17" s="1172"/>
      <c r="AF17" s="1172"/>
      <c r="AG17" s="1172"/>
      <c r="AH17" s="1172"/>
      <c r="AI17" s="1172"/>
      <c r="AJ17" s="1172"/>
      <c r="AK17" s="1172"/>
      <c r="AL17" s="1172"/>
      <c r="AM17" s="1172"/>
      <c r="AN17" s="1172"/>
      <c r="AO17" s="1172"/>
      <c r="AP17" s="1172"/>
      <c r="AQ17" s="1172"/>
      <c r="AR17" s="1172"/>
      <c r="AS17" s="1172"/>
      <c r="AT17" s="1172"/>
      <c r="AU17" s="1172"/>
      <c r="AV17" s="1172"/>
      <c r="AW17" s="1172"/>
      <c r="AX17" s="1172"/>
      <c r="AY17" s="1172"/>
      <c r="AZ17" s="1172"/>
      <c r="BA17" s="1172"/>
      <c r="BB17" s="1172"/>
      <c r="BC17" s="1172"/>
      <c r="BD17" s="1172"/>
      <c r="BE17" s="1172"/>
      <c r="BF17" s="1172"/>
      <c r="BG17" s="1172"/>
      <c r="BH17" s="1172"/>
      <c r="BI17" s="1172"/>
      <c r="BJ17" s="1172"/>
      <c r="BK17" s="1172"/>
      <c r="BL17" s="1172"/>
      <c r="BM17" s="1172"/>
      <c r="BN17" s="1172"/>
      <c r="BO17" s="1172"/>
      <c r="BP17" s="1172"/>
      <c r="BQ17" s="1172"/>
      <c r="BR17" s="1172"/>
      <c r="BS17" s="1172"/>
      <c r="BT17" s="1172"/>
      <c r="BU17" s="1172"/>
      <c r="BV17" s="1172"/>
      <c r="BW17" s="1172"/>
      <c r="BX17" s="1172"/>
      <c r="BY17" s="1172"/>
      <c r="BZ17" s="1172"/>
      <c r="CA17" s="1172"/>
      <c r="CB17" s="1172"/>
      <c r="CC17" s="1172"/>
      <c r="CD17" s="1172"/>
      <c r="CE17" s="1172"/>
      <c r="CF17" s="1172"/>
      <c r="CG17" s="1172"/>
      <c r="CH17" s="1172"/>
      <c r="CI17" s="1172"/>
      <c r="CJ17" s="1172"/>
      <c r="CK17" s="1172"/>
      <c r="CL17" s="1172"/>
      <c r="CM17" s="1172"/>
      <c r="CN17" s="1172"/>
      <c r="CO17" s="1172"/>
      <c r="CP17" s="1172"/>
      <c r="CQ17" s="1172"/>
      <c r="CR17" s="1172"/>
      <c r="CS17" s="1172"/>
      <c r="CT17" s="1172"/>
      <c r="CU17" s="1172"/>
      <c r="CV17" s="1172"/>
      <c r="CW17" s="1172"/>
      <c r="CX17" s="1172"/>
      <c r="CY17" s="1172"/>
      <c r="CZ17" s="1172"/>
      <c r="DA17" s="1172"/>
      <c r="DB17" s="1172"/>
      <c r="DC17" s="1172"/>
      <c r="DD17" s="1172"/>
      <c r="DE17" s="1172"/>
      <c r="DF17" s="1172"/>
      <c r="DG17" s="1172"/>
      <c r="DH17" s="1172"/>
      <c r="DI17" s="1172"/>
      <c r="DJ17" s="1172"/>
      <c r="DK17" s="1172"/>
      <c r="DL17" s="1172"/>
      <c r="DM17" s="1172"/>
      <c r="DN17" s="1172"/>
      <c r="DO17" s="1172"/>
      <c r="DP17" s="1172"/>
      <c r="DQ17" s="1172"/>
      <c r="DR17" s="1172"/>
      <c r="DS17" s="1172"/>
      <c r="DT17" s="1172"/>
      <c r="DU17" s="1172"/>
      <c r="DV17" s="1172"/>
      <c r="DW17" s="1172"/>
      <c r="DX17" s="1172"/>
      <c r="DY17" s="1172"/>
      <c r="DZ17" s="1172"/>
      <c r="EA17" s="1172"/>
      <c r="EB17" s="1172"/>
      <c r="EC17" s="1172"/>
      <c r="ED17" s="1172"/>
      <c r="EE17" s="1172"/>
      <c r="EF17" s="1172"/>
      <c r="EG17" s="1172"/>
      <c r="EH17" s="1172"/>
      <c r="EI17" s="1172"/>
      <c r="EJ17" s="1172"/>
      <c r="EK17" s="1172"/>
      <c r="EL17" s="1172"/>
      <c r="EM17" s="1172"/>
      <c r="EN17" s="1172"/>
      <c r="EO17" s="1172"/>
      <c r="EP17" s="1172"/>
      <c r="EQ17" s="1172"/>
      <c r="ER17" s="1172"/>
      <c r="ES17" s="1172"/>
      <c r="ET17" s="1172"/>
      <c r="EU17" s="1172"/>
      <c r="EV17" s="1172"/>
      <c r="EW17" s="1172"/>
      <c r="EX17" s="1172"/>
      <c r="EY17" s="1172"/>
      <c r="EZ17" s="1172"/>
      <c r="FA17" s="1172"/>
      <c r="FB17" s="1172"/>
      <c r="FC17" s="1172"/>
      <c r="FD17" s="1172"/>
      <c r="FE17" s="1172"/>
      <c r="FF17" s="1172"/>
      <c r="FG17" s="1172"/>
      <c r="FH17" s="1172"/>
      <c r="FI17" s="1172"/>
      <c r="FJ17" s="1172"/>
      <c r="FK17" s="1172"/>
      <c r="FL17" s="1172"/>
      <c r="FM17" s="1172"/>
      <c r="FN17" s="1172"/>
      <c r="FO17" s="1172"/>
      <c r="FP17" s="1172"/>
      <c r="FQ17" s="1172"/>
      <c r="FR17" s="1172"/>
      <c r="FS17" s="1172"/>
      <c r="FT17" s="1172"/>
      <c r="FU17" s="1172"/>
      <c r="FV17" s="1172"/>
      <c r="FW17" s="1172"/>
      <c r="FX17" s="1172"/>
      <c r="FY17" s="1172"/>
      <c r="FZ17" s="1172"/>
      <c r="GA17" s="1172"/>
      <c r="GB17" s="1172"/>
      <c r="GC17" s="1172"/>
      <c r="GD17" s="1172"/>
      <c r="GE17" s="1172"/>
      <c r="GF17" s="1172"/>
      <c r="GG17" s="1172"/>
      <c r="GH17" s="1172"/>
      <c r="GI17" s="1172"/>
      <c r="GJ17" s="1172"/>
      <c r="GK17" s="1172"/>
      <c r="GL17" s="1172"/>
      <c r="GM17" s="1172"/>
      <c r="GN17" s="1172"/>
      <c r="GO17" s="1172"/>
      <c r="GP17" s="1172"/>
      <c r="GQ17" s="1172"/>
      <c r="GR17" s="1172"/>
      <c r="GS17" s="1172"/>
      <c r="GT17" s="1172"/>
      <c r="GU17" s="1172"/>
      <c r="GV17" s="1172"/>
      <c r="GW17" s="1172"/>
      <c r="GX17" s="1172"/>
      <c r="GY17" s="1172"/>
      <c r="GZ17" s="1172"/>
      <c r="HA17" s="1172"/>
      <c r="HB17" s="1172"/>
      <c r="HC17" s="1172"/>
      <c r="HD17" s="1172"/>
      <c r="HE17" s="1172"/>
      <c r="HF17" s="1172"/>
      <c r="HG17" s="1172"/>
      <c r="HH17" s="1172"/>
      <c r="HI17" s="1172"/>
      <c r="HJ17" s="1172"/>
      <c r="HK17" s="1172"/>
      <c r="HL17" s="1172"/>
      <c r="HM17" s="1172"/>
      <c r="HN17" s="1172"/>
      <c r="HO17" s="1172"/>
      <c r="HP17" s="1172"/>
      <c r="HQ17" s="1172"/>
      <c r="HR17" s="1172"/>
      <c r="HS17" s="1172"/>
      <c r="HT17" s="1172"/>
      <c r="HU17" s="1172"/>
      <c r="HV17" s="1172"/>
      <c r="HW17" s="1172"/>
      <c r="HX17" s="1172"/>
      <c r="HY17" s="1172"/>
      <c r="HZ17" s="1172"/>
      <c r="IA17" s="1172"/>
      <c r="IB17" s="1172"/>
      <c r="IC17" s="1172"/>
      <c r="ID17" s="1172"/>
      <c r="IE17" s="1172"/>
      <c r="IF17" s="1172"/>
      <c r="IG17" s="1172"/>
      <c r="IH17" s="1172"/>
      <c r="II17" s="1172"/>
      <c r="IJ17" s="1172"/>
      <c r="IK17" s="1172"/>
      <c r="IL17" s="1172"/>
      <c r="IM17" s="1172"/>
      <c r="IN17" s="1172"/>
      <c r="IO17" s="1172"/>
      <c r="IP17" s="1172"/>
      <c r="IQ17" s="1172"/>
      <c r="IR17" s="1172"/>
      <c r="IS17" s="1172"/>
      <c r="IT17" s="1172"/>
      <c r="IU17" s="1172"/>
      <c r="IV17" s="1172"/>
    </row>
    <row r="18" spans="1:256" ht="16.5" customHeight="1">
      <c r="A18" s="1182" t="s">
        <v>493</v>
      </c>
      <c r="B18" s="1183">
        <f>SUM(B8:B17)</f>
        <v>523527367</v>
      </c>
      <c r="C18" s="1183">
        <f>SUM(C8:C15)</f>
        <v>10205000</v>
      </c>
      <c r="D18" s="1183">
        <f>SUM(D8:D15)</f>
        <v>79154982</v>
      </c>
      <c r="E18" s="1183">
        <f>SUM(E8:E15)</f>
        <v>116908710</v>
      </c>
      <c r="F18" s="1183">
        <f>SUM(F8:F15)</f>
        <v>14513031</v>
      </c>
      <c r="G18" s="1183">
        <f>SUM(G8:G15)</f>
        <v>87410020</v>
      </c>
      <c r="H18" s="1183">
        <f>SUM(H8:H17)</f>
        <v>831719110</v>
      </c>
      <c r="I18" s="1182" t="s">
        <v>493</v>
      </c>
      <c r="J18" s="1183">
        <f aca="true" t="shared" si="2" ref="J18:P18">SUM(J8:J17)</f>
        <v>533732367</v>
      </c>
      <c r="K18" s="1183">
        <f t="shared" si="2"/>
        <v>0</v>
      </c>
      <c r="L18" s="1183">
        <f t="shared" si="2"/>
        <v>79154982</v>
      </c>
      <c r="M18" s="1183">
        <f t="shared" si="2"/>
        <v>116908710</v>
      </c>
      <c r="N18" s="1183">
        <f t="shared" si="2"/>
        <v>14513031</v>
      </c>
      <c r="O18" s="1183">
        <f t="shared" si="2"/>
        <v>87410020</v>
      </c>
      <c r="P18" s="1183">
        <f t="shared" si="2"/>
        <v>831719110</v>
      </c>
      <c r="Q18" s="1172"/>
      <c r="R18" s="1172"/>
      <c r="S18" s="1172"/>
      <c r="T18" s="1172"/>
      <c r="U18" s="1172"/>
      <c r="V18" s="1172"/>
      <c r="W18" s="1172"/>
      <c r="X18" s="1172"/>
      <c r="Y18" s="1172"/>
      <c r="Z18" s="1172"/>
      <c r="AA18" s="1172"/>
      <c r="AB18" s="1172"/>
      <c r="AC18" s="1172"/>
      <c r="AD18" s="1172"/>
      <c r="AE18" s="1172"/>
      <c r="AF18" s="1172"/>
      <c r="AG18" s="1172"/>
      <c r="AH18" s="1172"/>
      <c r="AI18" s="1172"/>
      <c r="AJ18" s="1172"/>
      <c r="AK18" s="1172"/>
      <c r="AL18" s="1172"/>
      <c r="AM18" s="1172"/>
      <c r="AN18" s="1172"/>
      <c r="AO18" s="1172"/>
      <c r="AP18" s="1172"/>
      <c r="AQ18" s="1172"/>
      <c r="AR18" s="1172"/>
      <c r="AS18" s="1172"/>
      <c r="AT18" s="1172"/>
      <c r="AU18" s="1172"/>
      <c r="AV18" s="1172"/>
      <c r="AW18" s="1172"/>
      <c r="AX18" s="1172"/>
      <c r="AY18" s="1172"/>
      <c r="AZ18" s="1172"/>
      <c r="BA18" s="1172"/>
      <c r="BB18" s="1172"/>
      <c r="BC18" s="1172"/>
      <c r="BD18" s="1172"/>
      <c r="BE18" s="1172"/>
      <c r="BF18" s="1172"/>
      <c r="BG18" s="1172"/>
      <c r="BH18" s="1172"/>
      <c r="BI18" s="1172"/>
      <c r="BJ18" s="1172"/>
      <c r="BK18" s="1172"/>
      <c r="BL18" s="1172"/>
      <c r="BM18" s="1172"/>
      <c r="BN18" s="1172"/>
      <c r="BO18" s="1172"/>
      <c r="BP18" s="1172"/>
      <c r="BQ18" s="1172"/>
      <c r="BR18" s="1172"/>
      <c r="BS18" s="1172"/>
      <c r="BT18" s="1172"/>
      <c r="BU18" s="1172"/>
      <c r="BV18" s="1172"/>
      <c r="BW18" s="1172"/>
      <c r="BX18" s="1172"/>
      <c r="BY18" s="1172"/>
      <c r="BZ18" s="1172"/>
      <c r="CA18" s="1172"/>
      <c r="CB18" s="1172"/>
      <c r="CC18" s="1172"/>
      <c r="CD18" s="1172"/>
      <c r="CE18" s="1172"/>
      <c r="CF18" s="1172"/>
      <c r="CG18" s="1172"/>
      <c r="CH18" s="1172"/>
      <c r="CI18" s="1172"/>
      <c r="CJ18" s="1172"/>
      <c r="CK18" s="1172"/>
      <c r="CL18" s="1172"/>
      <c r="CM18" s="1172"/>
      <c r="CN18" s="1172"/>
      <c r="CO18" s="1172"/>
      <c r="CP18" s="1172"/>
      <c r="CQ18" s="1172"/>
      <c r="CR18" s="1172"/>
      <c r="CS18" s="1172"/>
      <c r="CT18" s="1172"/>
      <c r="CU18" s="1172"/>
      <c r="CV18" s="1172"/>
      <c r="CW18" s="1172"/>
      <c r="CX18" s="1172"/>
      <c r="CY18" s="1172"/>
      <c r="CZ18" s="1172"/>
      <c r="DA18" s="1172"/>
      <c r="DB18" s="1172"/>
      <c r="DC18" s="1172"/>
      <c r="DD18" s="1172"/>
      <c r="DE18" s="1172"/>
      <c r="DF18" s="1172"/>
      <c r="DG18" s="1172"/>
      <c r="DH18" s="1172"/>
      <c r="DI18" s="1172"/>
      <c r="DJ18" s="1172"/>
      <c r="DK18" s="1172"/>
      <c r="DL18" s="1172"/>
      <c r="DM18" s="1172"/>
      <c r="DN18" s="1172"/>
      <c r="DO18" s="1172"/>
      <c r="DP18" s="1172"/>
      <c r="DQ18" s="1172"/>
      <c r="DR18" s="1172"/>
      <c r="DS18" s="1172"/>
      <c r="DT18" s="1172"/>
      <c r="DU18" s="1172"/>
      <c r="DV18" s="1172"/>
      <c r="DW18" s="1172"/>
      <c r="DX18" s="1172"/>
      <c r="DY18" s="1172"/>
      <c r="DZ18" s="1172"/>
      <c r="EA18" s="1172"/>
      <c r="EB18" s="1172"/>
      <c r="EC18" s="1172"/>
      <c r="ED18" s="1172"/>
      <c r="EE18" s="1172"/>
      <c r="EF18" s="1172"/>
      <c r="EG18" s="1172"/>
      <c r="EH18" s="1172"/>
      <c r="EI18" s="1172"/>
      <c r="EJ18" s="1172"/>
      <c r="EK18" s="1172"/>
      <c r="EL18" s="1172"/>
      <c r="EM18" s="1172"/>
      <c r="EN18" s="1172"/>
      <c r="EO18" s="1172"/>
      <c r="EP18" s="1172"/>
      <c r="EQ18" s="1172"/>
      <c r="ER18" s="1172"/>
      <c r="ES18" s="1172"/>
      <c r="ET18" s="1172"/>
      <c r="EU18" s="1172"/>
      <c r="EV18" s="1172"/>
      <c r="EW18" s="1172"/>
      <c r="EX18" s="1172"/>
      <c r="EY18" s="1172"/>
      <c r="EZ18" s="1172"/>
      <c r="FA18" s="1172"/>
      <c r="FB18" s="1172"/>
      <c r="FC18" s="1172"/>
      <c r="FD18" s="1172"/>
      <c r="FE18" s="1172"/>
      <c r="FF18" s="1172"/>
      <c r="FG18" s="1172"/>
      <c r="FH18" s="1172"/>
      <c r="FI18" s="1172"/>
      <c r="FJ18" s="1172"/>
      <c r="FK18" s="1172"/>
      <c r="FL18" s="1172"/>
      <c r="FM18" s="1172"/>
      <c r="FN18" s="1172"/>
      <c r="FO18" s="1172"/>
      <c r="FP18" s="1172"/>
      <c r="FQ18" s="1172"/>
      <c r="FR18" s="1172"/>
      <c r="FS18" s="1172"/>
      <c r="FT18" s="1172"/>
      <c r="FU18" s="1172"/>
      <c r="FV18" s="1172"/>
      <c r="FW18" s="1172"/>
      <c r="FX18" s="1172"/>
      <c r="FY18" s="1172"/>
      <c r="FZ18" s="1172"/>
      <c r="GA18" s="1172"/>
      <c r="GB18" s="1172"/>
      <c r="GC18" s="1172"/>
      <c r="GD18" s="1172"/>
      <c r="GE18" s="1172"/>
      <c r="GF18" s="1172"/>
      <c r="GG18" s="1172"/>
      <c r="GH18" s="1172"/>
      <c r="GI18" s="1172"/>
      <c r="GJ18" s="1172"/>
      <c r="GK18" s="1172"/>
      <c r="GL18" s="1172"/>
      <c r="GM18" s="1172"/>
      <c r="GN18" s="1172"/>
      <c r="GO18" s="1172"/>
      <c r="GP18" s="1172"/>
      <c r="GQ18" s="1172"/>
      <c r="GR18" s="1172"/>
      <c r="GS18" s="1172"/>
      <c r="GT18" s="1172"/>
      <c r="GU18" s="1172"/>
      <c r="GV18" s="1172"/>
      <c r="GW18" s="1172"/>
      <c r="GX18" s="1172"/>
      <c r="GY18" s="1172"/>
      <c r="GZ18" s="1172"/>
      <c r="HA18" s="1172"/>
      <c r="HB18" s="1172"/>
      <c r="HC18" s="1172"/>
      <c r="HD18" s="1172"/>
      <c r="HE18" s="1172"/>
      <c r="HF18" s="1172"/>
      <c r="HG18" s="1172"/>
      <c r="HH18" s="1172"/>
      <c r="HI18" s="1172"/>
      <c r="HJ18" s="1172"/>
      <c r="HK18" s="1172"/>
      <c r="HL18" s="1172"/>
      <c r="HM18" s="1172"/>
      <c r="HN18" s="1172"/>
      <c r="HO18" s="1172"/>
      <c r="HP18" s="1172"/>
      <c r="HQ18" s="1172"/>
      <c r="HR18" s="1172"/>
      <c r="HS18" s="1172"/>
      <c r="HT18" s="1172"/>
      <c r="HU18" s="1172"/>
      <c r="HV18" s="1172"/>
      <c r="HW18" s="1172"/>
      <c r="HX18" s="1172"/>
      <c r="HY18" s="1172"/>
      <c r="HZ18" s="1172"/>
      <c r="IA18" s="1172"/>
      <c r="IB18" s="1172"/>
      <c r="IC18" s="1172"/>
      <c r="ID18" s="1172"/>
      <c r="IE18" s="1172"/>
      <c r="IF18" s="1172"/>
      <c r="IG18" s="1172"/>
      <c r="IH18" s="1172"/>
      <c r="II18" s="1172"/>
      <c r="IJ18" s="1172"/>
      <c r="IK18" s="1172"/>
      <c r="IL18" s="1172"/>
      <c r="IM18" s="1172"/>
      <c r="IN18" s="1172"/>
      <c r="IO18" s="1172"/>
      <c r="IP18" s="1172"/>
      <c r="IQ18" s="1172"/>
      <c r="IR18" s="1172"/>
      <c r="IS18" s="1172"/>
      <c r="IT18" s="1172"/>
      <c r="IU18" s="1172"/>
      <c r="IV18" s="1172"/>
    </row>
    <row r="19" spans="1:256" ht="16.5" customHeight="1">
      <c r="A19" s="1734"/>
      <c r="B19" s="1734"/>
      <c r="C19" s="1734"/>
      <c r="D19" s="1734"/>
      <c r="E19" s="1734"/>
      <c r="F19" s="1734"/>
      <c r="G19" s="1734"/>
      <c r="H19" s="1734"/>
      <c r="I19" s="1734"/>
      <c r="J19" s="1734"/>
      <c r="K19" s="1734"/>
      <c r="L19" s="1734"/>
      <c r="M19" s="1734"/>
      <c r="N19" s="1734"/>
      <c r="O19" s="1734"/>
      <c r="P19" s="1734"/>
      <c r="Q19" s="1172"/>
      <c r="R19" s="1172"/>
      <c r="S19" s="1172"/>
      <c r="T19" s="1172"/>
      <c r="U19" s="1172"/>
      <c r="V19" s="1172"/>
      <c r="W19" s="1172"/>
      <c r="X19" s="1172"/>
      <c r="Y19" s="1172"/>
      <c r="Z19" s="1172"/>
      <c r="AA19" s="1172"/>
      <c r="AB19" s="1172"/>
      <c r="AC19" s="1172"/>
      <c r="AD19" s="1172"/>
      <c r="AE19" s="1172"/>
      <c r="AF19" s="1172"/>
      <c r="AG19" s="1172"/>
      <c r="AH19" s="1172"/>
      <c r="AI19" s="1172"/>
      <c r="AJ19" s="1172"/>
      <c r="AK19" s="1172"/>
      <c r="AL19" s="1172"/>
      <c r="AM19" s="1172"/>
      <c r="AN19" s="1172"/>
      <c r="AO19" s="1172"/>
      <c r="AP19" s="1172"/>
      <c r="AQ19" s="1172"/>
      <c r="AR19" s="1172"/>
      <c r="AS19" s="1172"/>
      <c r="AT19" s="1172"/>
      <c r="AU19" s="1172"/>
      <c r="AV19" s="1172"/>
      <c r="AW19" s="1172"/>
      <c r="AX19" s="1172"/>
      <c r="AY19" s="1172"/>
      <c r="AZ19" s="1172"/>
      <c r="BA19" s="1172"/>
      <c r="BB19" s="1172"/>
      <c r="BC19" s="1172"/>
      <c r="BD19" s="1172"/>
      <c r="BE19" s="1172"/>
      <c r="BF19" s="1172"/>
      <c r="BG19" s="1172"/>
      <c r="BH19" s="1172"/>
      <c r="BI19" s="1172"/>
      <c r="BJ19" s="1172"/>
      <c r="BK19" s="1172"/>
      <c r="BL19" s="1172"/>
      <c r="BM19" s="1172"/>
      <c r="BN19" s="1172"/>
      <c r="BO19" s="1172"/>
      <c r="BP19" s="1172"/>
      <c r="BQ19" s="1172"/>
      <c r="BR19" s="1172"/>
      <c r="BS19" s="1172"/>
      <c r="BT19" s="1172"/>
      <c r="BU19" s="1172"/>
      <c r="BV19" s="1172"/>
      <c r="BW19" s="1172"/>
      <c r="BX19" s="1172"/>
      <c r="BY19" s="1172"/>
      <c r="BZ19" s="1172"/>
      <c r="CA19" s="1172"/>
      <c r="CB19" s="1172"/>
      <c r="CC19" s="1172"/>
      <c r="CD19" s="1172"/>
      <c r="CE19" s="1172"/>
      <c r="CF19" s="1172"/>
      <c r="CG19" s="1172"/>
      <c r="CH19" s="1172"/>
      <c r="CI19" s="1172"/>
      <c r="CJ19" s="1172"/>
      <c r="CK19" s="1172"/>
      <c r="CL19" s="1172"/>
      <c r="CM19" s="1172"/>
      <c r="CN19" s="1172"/>
      <c r="CO19" s="1172"/>
      <c r="CP19" s="1172"/>
      <c r="CQ19" s="1172"/>
      <c r="CR19" s="1172"/>
      <c r="CS19" s="1172"/>
      <c r="CT19" s="1172"/>
      <c r="CU19" s="1172"/>
      <c r="CV19" s="1172"/>
      <c r="CW19" s="1172"/>
      <c r="CX19" s="1172"/>
      <c r="CY19" s="1172"/>
      <c r="CZ19" s="1172"/>
      <c r="DA19" s="1172"/>
      <c r="DB19" s="1172"/>
      <c r="DC19" s="1172"/>
      <c r="DD19" s="1172"/>
      <c r="DE19" s="1172"/>
      <c r="DF19" s="1172"/>
      <c r="DG19" s="1172"/>
      <c r="DH19" s="1172"/>
      <c r="DI19" s="1172"/>
      <c r="DJ19" s="1172"/>
      <c r="DK19" s="1172"/>
      <c r="DL19" s="1172"/>
      <c r="DM19" s="1172"/>
      <c r="DN19" s="1172"/>
      <c r="DO19" s="1172"/>
      <c r="DP19" s="1172"/>
      <c r="DQ19" s="1172"/>
      <c r="DR19" s="1172"/>
      <c r="DS19" s="1172"/>
      <c r="DT19" s="1172"/>
      <c r="DU19" s="1172"/>
      <c r="DV19" s="1172"/>
      <c r="DW19" s="1172"/>
      <c r="DX19" s="1172"/>
      <c r="DY19" s="1172"/>
      <c r="DZ19" s="1172"/>
      <c r="EA19" s="1172"/>
      <c r="EB19" s="1172"/>
      <c r="EC19" s="1172"/>
      <c r="ED19" s="1172"/>
      <c r="EE19" s="1172"/>
      <c r="EF19" s="1172"/>
      <c r="EG19" s="1172"/>
      <c r="EH19" s="1172"/>
      <c r="EI19" s="1172"/>
      <c r="EJ19" s="1172"/>
      <c r="EK19" s="1172"/>
      <c r="EL19" s="1172"/>
      <c r="EM19" s="1172"/>
      <c r="EN19" s="1172"/>
      <c r="EO19" s="1172"/>
      <c r="EP19" s="1172"/>
      <c r="EQ19" s="1172"/>
      <c r="ER19" s="1172"/>
      <c r="ES19" s="1172"/>
      <c r="ET19" s="1172"/>
      <c r="EU19" s="1172"/>
      <c r="EV19" s="1172"/>
      <c r="EW19" s="1172"/>
      <c r="EX19" s="1172"/>
      <c r="EY19" s="1172"/>
      <c r="EZ19" s="1172"/>
      <c r="FA19" s="1172"/>
      <c r="FB19" s="1172"/>
      <c r="FC19" s="1172"/>
      <c r="FD19" s="1172"/>
      <c r="FE19" s="1172"/>
      <c r="FF19" s="1172"/>
      <c r="FG19" s="1172"/>
      <c r="FH19" s="1172"/>
      <c r="FI19" s="1172"/>
      <c r="FJ19" s="1172"/>
      <c r="FK19" s="1172"/>
      <c r="FL19" s="1172"/>
      <c r="FM19" s="1172"/>
      <c r="FN19" s="1172"/>
      <c r="FO19" s="1172"/>
      <c r="FP19" s="1172"/>
      <c r="FQ19" s="1172"/>
      <c r="FR19" s="1172"/>
      <c r="FS19" s="1172"/>
      <c r="FT19" s="1172"/>
      <c r="FU19" s="1172"/>
      <c r="FV19" s="1172"/>
      <c r="FW19" s="1172"/>
      <c r="FX19" s="1172"/>
      <c r="FY19" s="1172"/>
      <c r="FZ19" s="1172"/>
      <c r="GA19" s="1172"/>
      <c r="GB19" s="1172"/>
      <c r="GC19" s="1172"/>
      <c r="GD19" s="1172"/>
      <c r="GE19" s="1172"/>
      <c r="GF19" s="1172"/>
      <c r="GG19" s="1172"/>
      <c r="GH19" s="1172"/>
      <c r="GI19" s="1172"/>
      <c r="GJ19" s="1172"/>
      <c r="GK19" s="1172"/>
      <c r="GL19" s="1172"/>
      <c r="GM19" s="1172"/>
      <c r="GN19" s="1172"/>
      <c r="GO19" s="1172"/>
      <c r="GP19" s="1172"/>
      <c r="GQ19" s="1172"/>
      <c r="GR19" s="1172"/>
      <c r="GS19" s="1172"/>
      <c r="GT19" s="1172"/>
      <c r="GU19" s="1172"/>
      <c r="GV19" s="1172"/>
      <c r="GW19" s="1172"/>
      <c r="GX19" s="1172"/>
      <c r="GY19" s="1172"/>
      <c r="GZ19" s="1172"/>
      <c r="HA19" s="1172"/>
      <c r="HB19" s="1172"/>
      <c r="HC19" s="1172"/>
      <c r="HD19" s="1172"/>
      <c r="HE19" s="1172"/>
      <c r="HF19" s="1172"/>
      <c r="HG19" s="1172"/>
      <c r="HH19" s="1172"/>
      <c r="HI19" s="1172"/>
      <c r="HJ19" s="1172"/>
      <c r="HK19" s="1172"/>
      <c r="HL19" s="1172"/>
      <c r="HM19" s="1172"/>
      <c r="HN19" s="1172"/>
      <c r="HO19" s="1172"/>
      <c r="HP19" s="1172"/>
      <c r="HQ19" s="1172"/>
      <c r="HR19" s="1172"/>
      <c r="HS19" s="1172"/>
      <c r="HT19" s="1172"/>
      <c r="HU19" s="1172"/>
      <c r="HV19" s="1172"/>
      <c r="HW19" s="1172"/>
      <c r="HX19" s="1172"/>
      <c r="HY19" s="1172"/>
      <c r="HZ19" s="1172"/>
      <c r="IA19" s="1172"/>
      <c r="IB19" s="1172"/>
      <c r="IC19" s="1172"/>
      <c r="ID19" s="1172"/>
      <c r="IE19" s="1172"/>
      <c r="IF19" s="1172"/>
      <c r="IG19" s="1172"/>
      <c r="IH19" s="1172"/>
      <c r="II19" s="1172"/>
      <c r="IJ19" s="1172"/>
      <c r="IK19" s="1172"/>
      <c r="IL19" s="1172"/>
      <c r="IM19" s="1172"/>
      <c r="IN19" s="1172"/>
      <c r="IO19" s="1172"/>
      <c r="IP19" s="1172"/>
      <c r="IQ19" s="1172"/>
      <c r="IR19" s="1172"/>
      <c r="IS19" s="1172"/>
      <c r="IT19" s="1172"/>
      <c r="IU19" s="1172"/>
      <c r="IV19" s="1172"/>
    </row>
    <row r="20" spans="1:256" ht="16.5" customHeight="1">
      <c r="A20" s="1174" t="s">
        <v>15</v>
      </c>
      <c r="B20" s="1184"/>
      <c r="C20" s="1184"/>
      <c r="D20" s="1184"/>
      <c r="E20" s="1184"/>
      <c r="F20" s="1184"/>
      <c r="G20" s="1184"/>
      <c r="H20" s="1184"/>
      <c r="I20" s="1174" t="s">
        <v>13</v>
      </c>
      <c r="J20" s="1184"/>
      <c r="K20" s="1184"/>
      <c r="L20" s="1184"/>
      <c r="M20" s="1184"/>
      <c r="N20" s="1184"/>
      <c r="O20" s="1184"/>
      <c r="P20" s="1184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172"/>
      <c r="AJ20" s="1172"/>
      <c r="AK20" s="1172"/>
      <c r="AL20" s="1172"/>
      <c r="AM20" s="1172"/>
      <c r="AN20" s="1172"/>
      <c r="AO20" s="1172"/>
      <c r="AP20" s="1172"/>
      <c r="AQ20" s="1172"/>
      <c r="AR20" s="1172"/>
      <c r="AS20" s="1172"/>
      <c r="AT20" s="1172"/>
      <c r="AU20" s="1172"/>
      <c r="AV20" s="1172"/>
      <c r="AW20" s="1172"/>
      <c r="AX20" s="1172"/>
      <c r="AY20" s="1172"/>
      <c r="AZ20" s="1172"/>
      <c r="BA20" s="1172"/>
      <c r="BB20" s="1172"/>
      <c r="BC20" s="1172"/>
      <c r="BD20" s="1172"/>
      <c r="BE20" s="1172"/>
      <c r="BF20" s="1172"/>
      <c r="BG20" s="1172"/>
      <c r="BH20" s="1172"/>
      <c r="BI20" s="1172"/>
      <c r="BJ20" s="1172"/>
      <c r="BK20" s="1172"/>
      <c r="BL20" s="1172"/>
      <c r="BM20" s="1172"/>
      <c r="BN20" s="1172"/>
      <c r="BO20" s="1172"/>
      <c r="BP20" s="1172"/>
      <c r="BQ20" s="1172"/>
      <c r="BR20" s="1172"/>
      <c r="BS20" s="1172"/>
      <c r="BT20" s="1172"/>
      <c r="BU20" s="1172"/>
      <c r="BV20" s="1172"/>
      <c r="BW20" s="1172"/>
      <c r="BX20" s="1172"/>
      <c r="BY20" s="1172"/>
      <c r="BZ20" s="1172"/>
      <c r="CA20" s="1172"/>
      <c r="CB20" s="1172"/>
      <c r="CC20" s="1172"/>
      <c r="CD20" s="1172"/>
      <c r="CE20" s="1172"/>
      <c r="CF20" s="1172"/>
      <c r="CG20" s="1172"/>
      <c r="CH20" s="1172"/>
      <c r="CI20" s="1172"/>
      <c r="CJ20" s="1172"/>
      <c r="CK20" s="1172"/>
      <c r="CL20" s="1172"/>
      <c r="CM20" s="1172"/>
      <c r="CN20" s="1172"/>
      <c r="CO20" s="1172"/>
      <c r="CP20" s="1172"/>
      <c r="CQ20" s="1172"/>
      <c r="CR20" s="1172"/>
      <c r="CS20" s="1172"/>
      <c r="CT20" s="1172"/>
      <c r="CU20" s="1172"/>
      <c r="CV20" s="1172"/>
      <c r="CW20" s="1172"/>
      <c r="CX20" s="1172"/>
      <c r="CY20" s="1172"/>
      <c r="CZ20" s="1172"/>
      <c r="DA20" s="1172"/>
      <c r="DB20" s="1172"/>
      <c r="DC20" s="1172"/>
      <c r="DD20" s="1172"/>
      <c r="DE20" s="1172"/>
      <c r="DF20" s="1172"/>
      <c r="DG20" s="1172"/>
      <c r="DH20" s="1172"/>
      <c r="DI20" s="1172"/>
      <c r="DJ20" s="1172"/>
      <c r="DK20" s="1172"/>
      <c r="DL20" s="1172"/>
      <c r="DM20" s="1172"/>
      <c r="DN20" s="1172"/>
      <c r="DO20" s="1172"/>
      <c r="DP20" s="1172"/>
      <c r="DQ20" s="1172"/>
      <c r="DR20" s="1172"/>
      <c r="DS20" s="1172"/>
      <c r="DT20" s="1172"/>
      <c r="DU20" s="1172"/>
      <c r="DV20" s="1172"/>
      <c r="DW20" s="1172"/>
      <c r="DX20" s="1172"/>
      <c r="DY20" s="1172"/>
      <c r="DZ20" s="1172"/>
      <c r="EA20" s="1172"/>
      <c r="EB20" s="1172"/>
      <c r="EC20" s="1172"/>
      <c r="ED20" s="1172"/>
      <c r="EE20" s="1172"/>
      <c r="EF20" s="1172"/>
      <c r="EG20" s="1172"/>
      <c r="EH20" s="1172"/>
      <c r="EI20" s="1172"/>
      <c r="EJ20" s="1172"/>
      <c r="EK20" s="1172"/>
      <c r="EL20" s="1172"/>
      <c r="EM20" s="1172"/>
      <c r="EN20" s="1172"/>
      <c r="EO20" s="1172"/>
      <c r="EP20" s="1172"/>
      <c r="EQ20" s="1172"/>
      <c r="ER20" s="1172"/>
      <c r="ES20" s="1172"/>
      <c r="ET20" s="1172"/>
      <c r="EU20" s="1172"/>
      <c r="EV20" s="1172"/>
      <c r="EW20" s="1172"/>
      <c r="EX20" s="1172"/>
      <c r="EY20" s="1172"/>
      <c r="EZ20" s="1172"/>
      <c r="FA20" s="1172"/>
      <c r="FB20" s="1172"/>
      <c r="FC20" s="1172"/>
      <c r="FD20" s="1172"/>
      <c r="FE20" s="1172"/>
      <c r="FF20" s="1172"/>
      <c r="FG20" s="1172"/>
      <c r="FH20" s="1172"/>
      <c r="FI20" s="1172"/>
      <c r="FJ20" s="1172"/>
      <c r="FK20" s="1172"/>
      <c r="FL20" s="1172"/>
      <c r="FM20" s="1172"/>
      <c r="FN20" s="1172"/>
      <c r="FO20" s="1172"/>
      <c r="FP20" s="1172"/>
      <c r="FQ20" s="1172"/>
      <c r="FR20" s="1172"/>
      <c r="FS20" s="1172"/>
      <c r="FT20" s="1172"/>
      <c r="FU20" s="1172"/>
      <c r="FV20" s="1172"/>
      <c r="FW20" s="1172"/>
      <c r="FX20" s="1172"/>
      <c r="FY20" s="1172"/>
      <c r="FZ20" s="1172"/>
      <c r="GA20" s="1172"/>
      <c r="GB20" s="1172"/>
      <c r="GC20" s="1172"/>
      <c r="GD20" s="1172"/>
      <c r="GE20" s="1172"/>
      <c r="GF20" s="1172"/>
      <c r="GG20" s="1172"/>
      <c r="GH20" s="1172"/>
      <c r="GI20" s="1172"/>
      <c r="GJ20" s="1172"/>
      <c r="GK20" s="1172"/>
      <c r="GL20" s="1172"/>
      <c r="GM20" s="1172"/>
      <c r="GN20" s="1172"/>
      <c r="GO20" s="1172"/>
      <c r="GP20" s="1172"/>
      <c r="GQ20" s="1172"/>
      <c r="GR20" s="1172"/>
      <c r="GS20" s="1172"/>
      <c r="GT20" s="1172"/>
      <c r="GU20" s="1172"/>
      <c r="GV20" s="1172"/>
      <c r="GW20" s="1172"/>
      <c r="GX20" s="1172"/>
      <c r="GY20" s="1172"/>
      <c r="GZ20" s="1172"/>
      <c r="HA20" s="1172"/>
      <c r="HB20" s="1172"/>
      <c r="HC20" s="1172"/>
      <c r="HD20" s="1172"/>
      <c r="HE20" s="1172"/>
      <c r="HF20" s="1172"/>
      <c r="HG20" s="1172"/>
      <c r="HH20" s="1172"/>
      <c r="HI20" s="1172"/>
      <c r="HJ20" s="1172"/>
      <c r="HK20" s="1172"/>
      <c r="HL20" s="1172"/>
      <c r="HM20" s="1172"/>
      <c r="HN20" s="1172"/>
      <c r="HO20" s="1172"/>
      <c r="HP20" s="1172"/>
      <c r="HQ20" s="1172"/>
      <c r="HR20" s="1172"/>
      <c r="HS20" s="1172"/>
      <c r="HT20" s="1172"/>
      <c r="HU20" s="1172"/>
      <c r="HV20" s="1172"/>
      <c r="HW20" s="1172"/>
      <c r="HX20" s="1172"/>
      <c r="HY20" s="1172"/>
      <c r="HZ20" s="1172"/>
      <c r="IA20" s="1172"/>
      <c r="IB20" s="1172"/>
      <c r="IC20" s="1172"/>
      <c r="ID20" s="1172"/>
      <c r="IE20" s="1172"/>
      <c r="IF20" s="1172"/>
      <c r="IG20" s="1172"/>
      <c r="IH20" s="1172"/>
      <c r="II20" s="1172"/>
      <c r="IJ20" s="1172"/>
      <c r="IK20" s="1172"/>
      <c r="IL20" s="1172"/>
      <c r="IM20" s="1172"/>
      <c r="IN20" s="1172"/>
      <c r="IO20" s="1172"/>
      <c r="IP20" s="1172"/>
      <c r="IQ20" s="1172"/>
      <c r="IR20" s="1172"/>
      <c r="IS20" s="1172"/>
      <c r="IT20" s="1172"/>
      <c r="IU20" s="1172"/>
      <c r="IV20" s="1172"/>
    </row>
    <row r="21" spans="1:256" ht="29.25" customHeight="1">
      <c r="A21" s="1177" t="s">
        <v>285</v>
      </c>
      <c r="B21" s="1178">
        <v>19639956</v>
      </c>
      <c r="C21" s="1178"/>
      <c r="D21" s="1178">
        <v>1285467</v>
      </c>
      <c r="E21" s="1178">
        <v>894588</v>
      </c>
      <c r="F21" s="1178">
        <v>703777</v>
      </c>
      <c r="G21" s="1178">
        <v>770543</v>
      </c>
      <c r="H21" s="1634">
        <f aca="true" t="shared" si="3" ref="H21:H26">SUM(B21:G21)</f>
        <v>23294331</v>
      </c>
      <c r="I21" s="1177" t="s">
        <v>170</v>
      </c>
      <c r="J21" s="1178">
        <v>579188024</v>
      </c>
      <c r="K21" s="1178"/>
      <c r="L21" s="1636"/>
      <c r="M21" s="1636"/>
      <c r="N21" s="1636">
        <v>0</v>
      </c>
      <c r="O21" s="1636"/>
      <c r="P21" s="1635">
        <f aca="true" t="shared" si="4" ref="P21:P26">SUM(J21:O21)</f>
        <v>579188024</v>
      </c>
      <c r="Q21" s="1172"/>
      <c r="R21" s="1172"/>
      <c r="S21" s="1172"/>
      <c r="T21" s="1172"/>
      <c r="U21" s="1172"/>
      <c r="V21" s="1172"/>
      <c r="W21" s="1172"/>
      <c r="X21" s="1172"/>
      <c r="Y21" s="1172"/>
      <c r="Z21" s="1172"/>
      <c r="AA21" s="1172"/>
      <c r="AB21" s="1172"/>
      <c r="AC21" s="1172"/>
      <c r="AD21" s="1172"/>
      <c r="AE21" s="1172"/>
      <c r="AF21" s="1172"/>
      <c r="AG21" s="1172"/>
      <c r="AH21" s="1172"/>
      <c r="AI21" s="1172"/>
      <c r="AJ21" s="1172"/>
      <c r="AK21" s="1172"/>
      <c r="AL21" s="1172"/>
      <c r="AM21" s="1172"/>
      <c r="AN21" s="1172"/>
      <c r="AO21" s="1172"/>
      <c r="AP21" s="1172"/>
      <c r="AQ21" s="1172"/>
      <c r="AR21" s="1172"/>
      <c r="AS21" s="1172"/>
      <c r="AT21" s="1172"/>
      <c r="AU21" s="1172"/>
      <c r="AV21" s="1172"/>
      <c r="AW21" s="1172"/>
      <c r="AX21" s="1172"/>
      <c r="AY21" s="1172"/>
      <c r="AZ21" s="1172"/>
      <c r="BA21" s="1172"/>
      <c r="BB21" s="1172"/>
      <c r="BC21" s="1172"/>
      <c r="BD21" s="1172"/>
      <c r="BE21" s="1172"/>
      <c r="BF21" s="1172"/>
      <c r="BG21" s="1172"/>
      <c r="BH21" s="1172"/>
      <c r="BI21" s="1172"/>
      <c r="BJ21" s="1172"/>
      <c r="BK21" s="1172"/>
      <c r="BL21" s="1172"/>
      <c r="BM21" s="1172"/>
      <c r="BN21" s="1172"/>
      <c r="BO21" s="1172"/>
      <c r="BP21" s="1172"/>
      <c r="BQ21" s="1172"/>
      <c r="BR21" s="1172"/>
      <c r="BS21" s="1172"/>
      <c r="BT21" s="1172"/>
      <c r="BU21" s="1172"/>
      <c r="BV21" s="1172"/>
      <c r="BW21" s="1172"/>
      <c r="BX21" s="1172"/>
      <c r="BY21" s="1172"/>
      <c r="BZ21" s="1172"/>
      <c r="CA21" s="1172"/>
      <c r="CB21" s="1172"/>
      <c r="CC21" s="1172"/>
      <c r="CD21" s="1172"/>
      <c r="CE21" s="1172"/>
      <c r="CF21" s="1172"/>
      <c r="CG21" s="1172"/>
      <c r="CH21" s="1172"/>
      <c r="CI21" s="1172"/>
      <c r="CJ21" s="1172"/>
      <c r="CK21" s="1172"/>
      <c r="CL21" s="1172"/>
      <c r="CM21" s="1172"/>
      <c r="CN21" s="1172"/>
      <c r="CO21" s="1172"/>
      <c r="CP21" s="1172"/>
      <c r="CQ21" s="1172"/>
      <c r="CR21" s="1172"/>
      <c r="CS21" s="1172"/>
      <c r="CT21" s="1172"/>
      <c r="CU21" s="1172"/>
      <c r="CV21" s="1172"/>
      <c r="CW21" s="1172"/>
      <c r="CX21" s="1172"/>
      <c r="CY21" s="1172"/>
      <c r="CZ21" s="1172"/>
      <c r="DA21" s="1172"/>
      <c r="DB21" s="1172"/>
      <c r="DC21" s="1172"/>
      <c r="DD21" s="1172"/>
      <c r="DE21" s="1172"/>
      <c r="DF21" s="1172"/>
      <c r="DG21" s="1172"/>
      <c r="DH21" s="1172"/>
      <c r="DI21" s="1172"/>
      <c r="DJ21" s="1172"/>
      <c r="DK21" s="1172"/>
      <c r="DL21" s="1172"/>
      <c r="DM21" s="1172"/>
      <c r="DN21" s="1172"/>
      <c r="DO21" s="1172"/>
      <c r="DP21" s="1172"/>
      <c r="DQ21" s="1172"/>
      <c r="DR21" s="1172"/>
      <c r="DS21" s="1172"/>
      <c r="DT21" s="1172"/>
      <c r="DU21" s="1172"/>
      <c r="DV21" s="1172"/>
      <c r="DW21" s="1172"/>
      <c r="DX21" s="1172"/>
      <c r="DY21" s="1172"/>
      <c r="DZ21" s="1172"/>
      <c r="EA21" s="1172"/>
      <c r="EB21" s="1172"/>
      <c r="EC21" s="1172"/>
      <c r="ED21" s="1172"/>
      <c r="EE21" s="1172"/>
      <c r="EF21" s="1172"/>
      <c r="EG21" s="1172"/>
      <c r="EH21" s="1172"/>
      <c r="EI21" s="1172"/>
      <c r="EJ21" s="1172"/>
      <c r="EK21" s="1172"/>
      <c r="EL21" s="1172"/>
      <c r="EM21" s="1172"/>
      <c r="EN21" s="1172"/>
      <c r="EO21" s="1172"/>
      <c r="EP21" s="1172"/>
      <c r="EQ21" s="1172"/>
      <c r="ER21" s="1172"/>
      <c r="ES21" s="1172"/>
      <c r="ET21" s="1172"/>
      <c r="EU21" s="1172"/>
      <c r="EV21" s="1172"/>
      <c r="EW21" s="1172"/>
      <c r="EX21" s="1172"/>
      <c r="EY21" s="1172"/>
      <c r="EZ21" s="1172"/>
      <c r="FA21" s="1172"/>
      <c r="FB21" s="1172"/>
      <c r="FC21" s="1172"/>
      <c r="FD21" s="1172"/>
      <c r="FE21" s="1172"/>
      <c r="FF21" s="1172"/>
      <c r="FG21" s="1172"/>
      <c r="FH21" s="1172"/>
      <c r="FI21" s="1172"/>
      <c r="FJ21" s="1172"/>
      <c r="FK21" s="1172"/>
      <c r="FL21" s="1172"/>
      <c r="FM21" s="1172"/>
      <c r="FN21" s="1172"/>
      <c r="FO21" s="1172"/>
      <c r="FP21" s="1172"/>
      <c r="FQ21" s="1172"/>
      <c r="FR21" s="1172"/>
      <c r="FS21" s="1172"/>
      <c r="FT21" s="1172"/>
      <c r="FU21" s="1172"/>
      <c r="FV21" s="1172"/>
      <c r="FW21" s="1172"/>
      <c r="FX21" s="1172"/>
      <c r="FY21" s="1172"/>
      <c r="FZ21" s="1172"/>
      <c r="GA21" s="1172"/>
      <c r="GB21" s="1172"/>
      <c r="GC21" s="1172"/>
      <c r="GD21" s="1172"/>
      <c r="GE21" s="1172"/>
      <c r="GF21" s="1172"/>
      <c r="GG21" s="1172"/>
      <c r="GH21" s="1172"/>
      <c r="GI21" s="1172"/>
      <c r="GJ21" s="1172"/>
      <c r="GK21" s="1172"/>
      <c r="GL21" s="1172"/>
      <c r="GM21" s="1172"/>
      <c r="GN21" s="1172"/>
      <c r="GO21" s="1172"/>
      <c r="GP21" s="1172"/>
      <c r="GQ21" s="1172"/>
      <c r="GR21" s="1172"/>
      <c r="GS21" s="1172"/>
      <c r="GT21" s="1172"/>
      <c r="GU21" s="1172"/>
      <c r="GV21" s="1172"/>
      <c r="GW21" s="1172"/>
      <c r="GX21" s="1172"/>
      <c r="GY21" s="1172"/>
      <c r="GZ21" s="1172"/>
      <c r="HA21" s="1172"/>
      <c r="HB21" s="1172"/>
      <c r="HC21" s="1172"/>
      <c r="HD21" s="1172"/>
      <c r="HE21" s="1172"/>
      <c r="HF21" s="1172"/>
      <c r="HG21" s="1172"/>
      <c r="HH21" s="1172"/>
      <c r="HI21" s="1172"/>
      <c r="HJ21" s="1172"/>
      <c r="HK21" s="1172"/>
      <c r="HL21" s="1172"/>
      <c r="HM21" s="1172"/>
      <c r="HN21" s="1172"/>
      <c r="HO21" s="1172"/>
      <c r="HP21" s="1172"/>
      <c r="HQ21" s="1172"/>
      <c r="HR21" s="1172"/>
      <c r="HS21" s="1172"/>
      <c r="HT21" s="1172"/>
      <c r="HU21" s="1172"/>
      <c r="HV21" s="1172"/>
      <c r="HW21" s="1172"/>
      <c r="HX21" s="1172"/>
      <c r="HY21" s="1172"/>
      <c r="HZ21" s="1172"/>
      <c r="IA21" s="1172"/>
      <c r="IB21" s="1172"/>
      <c r="IC21" s="1172"/>
      <c r="ID21" s="1172"/>
      <c r="IE21" s="1172"/>
      <c r="IF21" s="1172"/>
      <c r="IG21" s="1172"/>
      <c r="IH21" s="1172"/>
      <c r="II21" s="1172"/>
      <c r="IJ21" s="1172"/>
      <c r="IK21" s="1172"/>
      <c r="IL21" s="1172"/>
      <c r="IM21" s="1172"/>
      <c r="IN21" s="1172"/>
      <c r="IO21" s="1172"/>
      <c r="IP21" s="1172"/>
      <c r="IQ21" s="1172"/>
      <c r="IR21" s="1172"/>
      <c r="IS21" s="1172"/>
      <c r="IT21" s="1172"/>
      <c r="IU21" s="1172"/>
      <c r="IV21" s="1172"/>
    </row>
    <row r="22" spans="1:256" ht="16.5" customHeight="1">
      <c r="A22" s="1177" t="s">
        <v>462</v>
      </c>
      <c r="B22" s="1178">
        <v>17618312</v>
      </c>
      <c r="C22" s="1178"/>
      <c r="D22" s="1179"/>
      <c r="E22" s="1179"/>
      <c r="F22" s="1179"/>
      <c r="G22" s="1178"/>
      <c r="H22" s="1634">
        <f t="shared" si="3"/>
        <v>17618312</v>
      </c>
      <c r="I22" s="1177" t="s">
        <v>13</v>
      </c>
      <c r="J22" s="1178">
        <v>9136370</v>
      </c>
      <c r="K22" s="1178"/>
      <c r="L22" s="1636"/>
      <c r="M22" s="1636"/>
      <c r="N22" s="1636"/>
      <c r="O22" s="1636"/>
      <c r="P22" s="1635">
        <f t="shared" si="4"/>
        <v>9136370</v>
      </c>
      <c r="Q22" s="1172"/>
      <c r="R22" s="1172"/>
      <c r="S22" s="1172"/>
      <c r="T22" s="1172"/>
      <c r="U22" s="1172"/>
      <c r="V22" s="1172"/>
      <c r="W22" s="1172"/>
      <c r="X22" s="1172"/>
      <c r="Y22" s="1172"/>
      <c r="Z22" s="1172"/>
      <c r="AA22" s="1172"/>
      <c r="AB22" s="1172"/>
      <c r="AC22" s="1172"/>
      <c r="AD22" s="1172"/>
      <c r="AE22" s="1172"/>
      <c r="AF22" s="1172"/>
      <c r="AG22" s="1172"/>
      <c r="AH22" s="1172"/>
      <c r="AI22" s="1172"/>
      <c r="AJ22" s="1172"/>
      <c r="AK22" s="1172"/>
      <c r="AL22" s="1172"/>
      <c r="AM22" s="1172"/>
      <c r="AN22" s="1172"/>
      <c r="AO22" s="1172"/>
      <c r="AP22" s="1172"/>
      <c r="AQ22" s="1172"/>
      <c r="AR22" s="1172"/>
      <c r="AS22" s="1172"/>
      <c r="AT22" s="1172"/>
      <c r="AU22" s="1172"/>
      <c r="AV22" s="1172"/>
      <c r="AW22" s="1172"/>
      <c r="AX22" s="1172"/>
      <c r="AY22" s="1172"/>
      <c r="AZ22" s="1172"/>
      <c r="BA22" s="1172"/>
      <c r="BB22" s="1172"/>
      <c r="BC22" s="1172"/>
      <c r="BD22" s="1172"/>
      <c r="BE22" s="1172"/>
      <c r="BF22" s="1172"/>
      <c r="BG22" s="1172"/>
      <c r="BH22" s="1172"/>
      <c r="BI22" s="1172"/>
      <c r="BJ22" s="1172"/>
      <c r="BK22" s="1172"/>
      <c r="BL22" s="1172"/>
      <c r="BM22" s="1172"/>
      <c r="BN22" s="1172"/>
      <c r="BO22" s="1172"/>
      <c r="BP22" s="1172"/>
      <c r="BQ22" s="1172"/>
      <c r="BR22" s="1172"/>
      <c r="BS22" s="1172"/>
      <c r="BT22" s="1172"/>
      <c r="BU22" s="1172"/>
      <c r="BV22" s="1172"/>
      <c r="BW22" s="1172"/>
      <c r="BX22" s="1172"/>
      <c r="BY22" s="1172"/>
      <c r="BZ22" s="1172"/>
      <c r="CA22" s="1172"/>
      <c r="CB22" s="1172"/>
      <c r="CC22" s="1172"/>
      <c r="CD22" s="1172"/>
      <c r="CE22" s="1172"/>
      <c r="CF22" s="1172"/>
      <c r="CG22" s="1172"/>
      <c r="CH22" s="1172"/>
      <c r="CI22" s="1172"/>
      <c r="CJ22" s="1172"/>
      <c r="CK22" s="1172"/>
      <c r="CL22" s="1172"/>
      <c r="CM22" s="1172"/>
      <c r="CN22" s="1172"/>
      <c r="CO22" s="1172"/>
      <c r="CP22" s="1172"/>
      <c r="CQ22" s="1172"/>
      <c r="CR22" s="1172"/>
      <c r="CS22" s="1172"/>
      <c r="CT22" s="1172"/>
      <c r="CU22" s="1172"/>
      <c r="CV22" s="1172"/>
      <c r="CW22" s="1172"/>
      <c r="CX22" s="1172"/>
      <c r="CY22" s="1172"/>
      <c r="CZ22" s="1172"/>
      <c r="DA22" s="1172"/>
      <c r="DB22" s="1172"/>
      <c r="DC22" s="1172"/>
      <c r="DD22" s="1172"/>
      <c r="DE22" s="1172"/>
      <c r="DF22" s="1172"/>
      <c r="DG22" s="1172"/>
      <c r="DH22" s="1172"/>
      <c r="DI22" s="1172"/>
      <c r="DJ22" s="1172"/>
      <c r="DK22" s="1172"/>
      <c r="DL22" s="1172"/>
      <c r="DM22" s="1172"/>
      <c r="DN22" s="1172"/>
      <c r="DO22" s="1172"/>
      <c r="DP22" s="1172"/>
      <c r="DQ22" s="1172"/>
      <c r="DR22" s="1172"/>
      <c r="DS22" s="1172"/>
      <c r="DT22" s="1172"/>
      <c r="DU22" s="1172"/>
      <c r="DV22" s="1172"/>
      <c r="DW22" s="1172"/>
      <c r="DX22" s="1172"/>
      <c r="DY22" s="1172"/>
      <c r="DZ22" s="1172"/>
      <c r="EA22" s="1172"/>
      <c r="EB22" s="1172"/>
      <c r="EC22" s="1172"/>
      <c r="ED22" s="1172"/>
      <c r="EE22" s="1172"/>
      <c r="EF22" s="1172"/>
      <c r="EG22" s="1172"/>
      <c r="EH22" s="1172"/>
      <c r="EI22" s="1172"/>
      <c r="EJ22" s="1172"/>
      <c r="EK22" s="1172"/>
      <c r="EL22" s="1172"/>
      <c r="EM22" s="1172"/>
      <c r="EN22" s="1172"/>
      <c r="EO22" s="1172"/>
      <c r="EP22" s="1172"/>
      <c r="EQ22" s="1172"/>
      <c r="ER22" s="1172"/>
      <c r="ES22" s="1172"/>
      <c r="ET22" s="1172"/>
      <c r="EU22" s="1172"/>
      <c r="EV22" s="1172"/>
      <c r="EW22" s="1172"/>
      <c r="EX22" s="1172"/>
      <c r="EY22" s="1172"/>
      <c r="EZ22" s="1172"/>
      <c r="FA22" s="1172"/>
      <c r="FB22" s="1172"/>
      <c r="FC22" s="1172"/>
      <c r="FD22" s="1172"/>
      <c r="FE22" s="1172"/>
      <c r="FF22" s="1172"/>
      <c r="FG22" s="1172"/>
      <c r="FH22" s="1172"/>
      <c r="FI22" s="1172"/>
      <c r="FJ22" s="1172"/>
      <c r="FK22" s="1172"/>
      <c r="FL22" s="1172"/>
      <c r="FM22" s="1172"/>
      <c r="FN22" s="1172"/>
      <c r="FO22" s="1172"/>
      <c r="FP22" s="1172"/>
      <c r="FQ22" s="1172"/>
      <c r="FR22" s="1172"/>
      <c r="FS22" s="1172"/>
      <c r="FT22" s="1172"/>
      <c r="FU22" s="1172"/>
      <c r="FV22" s="1172"/>
      <c r="FW22" s="1172"/>
      <c r="FX22" s="1172"/>
      <c r="FY22" s="1172"/>
      <c r="FZ22" s="1172"/>
      <c r="GA22" s="1172"/>
      <c r="GB22" s="1172"/>
      <c r="GC22" s="1172"/>
      <c r="GD22" s="1172"/>
      <c r="GE22" s="1172"/>
      <c r="GF22" s="1172"/>
      <c r="GG22" s="1172"/>
      <c r="GH22" s="1172"/>
      <c r="GI22" s="1172"/>
      <c r="GJ22" s="1172"/>
      <c r="GK22" s="1172"/>
      <c r="GL22" s="1172"/>
      <c r="GM22" s="1172"/>
      <c r="GN22" s="1172"/>
      <c r="GO22" s="1172"/>
      <c r="GP22" s="1172"/>
      <c r="GQ22" s="1172"/>
      <c r="GR22" s="1172"/>
      <c r="GS22" s="1172"/>
      <c r="GT22" s="1172"/>
      <c r="GU22" s="1172"/>
      <c r="GV22" s="1172"/>
      <c r="GW22" s="1172"/>
      <c r="GX22" s="1172"/>
      <c r="GY22" s="1172"/>
      <c r="GZ22" s="1172"/>
      <c r="HA22" s="1172"/>
      <c r="HB22" s="1172"/>
      <c r="HC22" s="1172"/>
      <c r="HD22" s="1172"/>
      <c r="HE22" s="1172"/>
      <c r="HF22" s="1172"/>
      <c r="HG22" s="1172"/>
      <c r="HH22" s="1172"/>
      <c r="HI22" s="1172"/>
      <c r="HJ22" s="1172"/>
      <c r="HK22" s="1172"/>
      <c r="HL22" s="1172"/>
      <c r="HM22" s="1172"/>
      <c r="HN22" s="1172"/>
      <c r="HO22" s="1172"/>
      <c r="HP22" s="1172"/>
      <c r="HQ22" s="1172"/>
      <c r="HR22" s="1172"/>
      <c r="HS22" s="1172"/>
      <c r="HT22" s="1172"/>
      <c r="HU22" s="1172"/>
      <c r="HV22" s="1172"/>
      <c r="HW22" s="1172"/>
      <c r="HX22" s="1172"/>
      <c r="HY22" s="1172"/>
      <c r="HZ22" s="1172"/>
      <c r="IA22" s="1172"/>
      <c r="IB22" s="1172"/>
      <c r="IC22" s="1172"/>
      <c r="ID22" s="1172"/>
      <c r="IE22" s="1172"/>
      <c r="IF22" s="1172"/>
      <c r="IG22" s="1172"/>
      <c r="IH22" s="1172"/>
      <c r="II22" s="1172"/>
      <c r="IJ22" s="1172"/>
      <c r="IK22" s="1172"/>
      <c r="IL22" s="1172"/>
      <c r="IM22" s="1172"/>
      <c r="IN22" s="1172"/>
      <c r="IO22" s="1172"/>
      <c r="IP22" s="1172"/>
      <c r="IQ22" s="1172"/>
      <c r="IR22" s="1172"/>
      <c r="IS22" s="1172"/>
      <c r="IT22" s="1172"/>
      <c r="IU22" s="1172"/>
      <c r="IV22" s="1172"/>
    </row>
    <row r="23" spans="1:256" ht="16.5" customHeight="1">
      <c r="A23" s="1177" t="s">
        <v>207</v>
      </c>
      <c r="B23" s="1178">
        <v>0</v>
      </c>
      <c r="C23" s="1178"/>
      <c r="D23" s="1178"/>
      <c r="E23" s="1178"/>
      <c r="F23" s="1178"/>
      <c r="G23" s="1178"/>
      <c r="H23" s="1634">
        <f t="shared" si="3"/>
        <v>0</v>
      </c>
      <c r="I23" s="1177" t="s">
        <v>230</v>
      </c>
      <c r="J23" s="1178"/>
      <c r="K23" s="1178"/>
      <c r="L23" s="1636"/>
      <c r="M23" s="1636">
        <v>800000</v>
      </c>
      <c r="N23" s="1636"/>
      <c r="O23" s="1636"/>
      <c r="P23" s="1635">
        <f t="shared" si="4"/>
        <v>800000</v>
      </c>
      <c r="Q23" s="1172"/>
      <c r="R23" s="1172"/>
      <c r="S23" s="1172"/>
      <c r="T23" s="1172"/>
      <c r="U23" s="1172"/>
      <c r="V23" s="1172"/>
      <c r="W23" s="1172"/>
      <c r="X23" s="1172"/>
      <c r="Y23" s="1172"/>
      <c r="Z23" s="1172"/>
      <c r="AA23" s="1172"/>
      <c r="AB23" s="1172"/>
      <c r="AC23" s="1172"/>
      <c r="AD23" s="1172"/>
      <c r="AE23" s="1172"/>
      <c r="AF23" s="1172"/>
      <c r="AG23" s="1172"/>
      <c r="AH23" s="1172"/>
      <c r="AI23" s="1172"/>
      <c r="AJ23" s="1172"/>
      <c r="AK23" s="1172"/>
      <c r="AL23" s="1172"/>
      <c r="AM23" s="1172"/>
      <c r="AN23" s="1172"/>
      <c r="AO23" s="1172"/>
      <c r="AP23" s="1172"/>
      <c r="AQ23" s="1172"/>
      <c r="AR23" s="1172"/>
      <c r="AS23" s="1172"/>
      <c r="AT23" s="1172"/>
      <c r="AU23" s="1172"/>
      <c r="AV23" s="1172"/>
      <c r="AW23" s="1172"/>
      <c r="AX23" s="1172"/>
      <c r="AY23" s="1172"/>
      <c r="AZ23" s="1172"/>
      <c r="BA23" s="1172"/>
      <c r="BB23" s="1172"/>
      <c r="BC23" s="1172"/>
      <c r="BD23" s="1172"/>
      <c r="BE23" s="1172"/>
      <c r="BF23" s="1172"/>
      <c r="BG23" s="1172"/>
      <c r="BH23" s="1172"/>
      <c r="BI23" s="1172"/>
      <c r="BJ23" s="1172"/>
      <c r="BK23" s="1172"/>
      <c r="BL23" s="1172"/>
      <c r="BM23" s="1172"/>
      <c r="BN23" s="1172"/>
      <c r="BO23" s="1172"/>
      <c r="BP23" s="1172"/>
      <c r="BQ23" s="1172"/>
      <c r="BR23" s="1172"/>
      <c r="BS23" s="1172"/>
      <c r="BT23" s="1172"/>
      <c r="BU23" s="1172"/>
      <c r="BV23" s="1172"/>
      <c r="BW23" s="1172"/>
      <c r="BX23" s="1172"/>
      <c r="BY23" s="1172"/>
      <c r="BZ23" s="1172"/>
      <c r="CA23" s="1172"/>
      <c r="CB23" s="1172"/>
      <c r="CC23" s="1172"/>
      <c r="CD23" s="1172"/>
      <c r="CE23" s="1172"/>
      <c r="CF23" s="1172"/>
      <c r="CG23" s="1172"/>
      <c r="CH23" s="1172"/>
      <c r="CI23" s="1172"/>
      <c r="CJ23" s="1172"/>
      <c r="CK23" s="1172"/>
      <c r="CL23" s="1172"/>
      <c r="CM23" s="1172"/>
      <c r="CN23" s="1172"/>
      <c r="CO23" s="1172"/>
      <c r="CP23" s="1172"/>
      <c r="CQ23" s="1172"/>
      <c r="CR23" s="1172"/>
      <c r="CS23" s="1172"/>
      <c r="CT23" s="1172"/>
      <c r="CU23" s="1172"/>
      <c r="CV23" s="1172"/>
      <c r="CW23" s="1172"/>
      <c r="CX23" s="1172"/>
      <c r="CY23" s="1172"/>
      <c r="CZ23" s="1172"/>
      <c r="DA23" s="1172"/>
      <c r="DB23" s="1172"/>
      <c r="DC23" s="1172"/>
      <c r="DD23" s="1172"/>
      <c r="DE23" s="1172"/>
      <c r="DF23" s="1172"/>
      <c r="DG23" s="1172"/>
      <c r="DH23" s="1172"/>
      <c r="DI23" s="1172"/>
      <c r="DJ23" s="1172"/>
      <c r="DK23" s="1172"/>
      <c r="DL23" s="1172"/>
      <c r="DM23" s="1172"/>
      <c r="DN23" s="1172"/>
      <c r="DO23" s="1172"/>
      <c r="DP23" s="1172"/>
      <c r="DQ23" s="1172"/>
      <c r="DR23" s="1172"/>
      <c r="DS23" s="1172"/>
      <c r="DT23" s="1172"/>
      <c r="DU23" s="1172"/>
      <c r="DV23" s="1172"/>
      <c r="DW23" s="1172"/>
      <c r="DX23" s="1172"/>
      <c r="DY23" s="1172"/>
      <c r="DZ23" s="1172"/>
      <c r="EA23" s="1172"/>
      <c r="EB23" s="1172"/>
      <c r="EC23" s="1172"/>
      <c r="ED23" s="1172"/>
      <c r="EE23" s="1172"/>
      <c r="EF23" s="1172"/>
      <c r="EG23" s="1172"/>
      <c r="EH23" s="1172"/>
      <c r="EI23" s="1172"/>
      <c r="EJ23" s="1172"/>
      <c r="EK23" s="1172"/>
      <c r="EL23" s="1172"/>
      <c r="EM23" s="1172"/>
      <c r="EN23" s="1172"/>
      <c r="EO23" s="1172"/>
      <c r="EP23" s="1172"/>
      <c r="EQ23" s="1172"/>
      <c r="ER23" s="1172"/>
      <c r="ES23" s="1172"/>
      <c r="ET23" s="1172"/>
      <c r="EU23" s="1172"/>
      <c r="EV23" s="1172"/>
      <c r="EW23" s="1172"/>
      <c r="EX23" s="1172"/>
      <c r="EY23" s="1172"/>
      <c r="EZ23" s="1172"/>
      <c r="FA23" s="1172"/>
      <c r="FB23" s="1172"/>
      <c r="FC23" s="1172"/>
      <c r="FD23" s="1172"/>
      <c r="FE23" s="1172"/>
      <c r="FF23" s="1172"/>
      <c r="FG23" s="1172"/>
      <c r="FH23" s="1172"/>
      <c r="FI23" s="1172"/>
      <c r="FJ23" s="1172"/>
      <c r="FK23" s="1172"/>
      <c r="FL23" s="1172"/>
      <c r="FM23" s="1172"/>
      <c r="FN23" s="1172"/>
      <c r="FO23" s="1172"/>
      <c r="FP23" s="1172"/>
      <c r="FQ23" s="1172"/>
      <c r="FR23" s="1172"/>
      <c r="FS23" s="1172"/>
      <c r="FT23" s="1172"/>
      <c r="FU23" s="1172"/>
      <c r="FV23" s="1172"/>
      <c r="FW23" s="1172"/>
      <c r="FX23" s="1172"/>
      <c r="FY23" s="1172"/>
      <c r="FZ23" s="1172"/>
      <c r="GA23" s="1172"/>
      <c r="GB23" s="1172"/>
      <c r="GC23" s="1172"/>
      <c r="GD23" s="1172"/>
      <c r="GE23" s="1172"/>
      <c r="GF23" s="1172"/>
      <c r="GG23" s="1172"/>
      <c r="GH23" s="1172"/>
      <c r="GI23" s="1172"/>
      <c r="GJ23" s="1172"/>
      <c r="GK23" s="1172"/>
      <c r="GL23" s="1172"/>
      <c r="GM23" s="1172"/>
      <c r="GN23" s="1172"/>
      <c r="GO23" s="1172"/>
      <c r="GP23" s="1172"/>
      <c r="GQ23" s="1172"/>
      <c r="GR23" s="1172"/>
      <c r="GS23" s="1172"/>
      <c r="GT23" s="1172"/>
      <c r="GU23" s="1172"/>
      <c r="GV23" s="1172"/>
      <c r="GW23" s="1172"/>
      <c r="GX23" s="1172"/>
      <c r="GY23" s="1172"/>
      <c r="GZ23" s="1172"/>
      <c r="HA23" s="1172"/>
      <c r="HB23" s="1172"/>
      <c r="HC23" s="1172"/>
      <c r="HD23" s="1172"/>
      <c r="HE23" s="1172"/>
      <c r="HF23" s="1172"/>
      <c r="HG23" s="1172"/>
      <c r="HH23" s="1172"/>
      <c r="HI23" s="1172"/>
      <c r="HJ23" s="1172"/>
      <c r="HK23" s="1172"/>
      <c r="HL23" s="1172"/>
      <c r="HM23" s="1172"/>
      <c r="HN23" s="1172"/>
      <c r="HO23" s="1172"/>
      <c r="HP23" s="1172"/>
      <c r="HQ23" s="1172"/>
      <c r="HR23" s="1172"/>
      <c r="HS23" s="1172"/>
      <c r="HT23" s="1172"/>
      <c r="HU23" s="1172"/>
      <c r="HV23" s="1172"/>
      <c r="HW23" s="1172"/>
      <c r="HX23" s="1172"/>
      <c r="HY23" s="1172"/>
      <c r="HZ23" s="1172"/>
      <c r="IA23" s="1172"/>
      <c r="IB23" s="1172"/>
      <c r="IC23" s="1172"/>
      <c r="ID23" s="1172"/>
      <c r="IE23" s="1172"/>
      <c r="IF23" s="1172"/>
      <c r="IG23" s="1172"/>
      <c r="IH23" s="1172"/>
      <c r="II23" s="1172"/>
      <c r="IJ23" s="1172"/>
      <c r="IK23" s="1172"/>
      <c r="IL23" s="1172"/>
      <c r="IM23" s="1172"/>
      <c r="IN23" s="1172"/>
      <c r="IO23" s="1172"/>
      <c r="IP23" s="1172"/>
      <c r="IQ23" s="1172"/>
      <c r="IR23" s="1172"/>
      <c r="IS23" s="1172"/>
      <c r="IT23" s="1172"/>
      <c r="IU23" s="1172"/>
      <c r="IV23" s="1172"/>
    </row>
    <row r="24" spans="1:256" ht="16.5" customHeight="1">
      <c r="A24" s="1177" t="s">
        <v>16</v>
      </c>
      <c r="B24" s="1178">
        <v>597360397</v>
      </c>
      <c r="C24" s="1178"/>
      <c r="D24" s="1178"/>
      <c r="E24" s="1178"/>
      <c r="F24" s="1178"/>
      <c r="G24" s="1178"/>
      <c r="H24" s="1634">
        <f t="shared" si="3"/>
        <v>597360397</v>
      </c>
      <c r="I24" s="1177" t="s">
        <v>501</v>
      </c>
      <c r="J24" s="1178"/>
      <c r="K24" s="1178"/>
      <c r="L24" s="1636"/>
      <c r="M24" s="1637"/>
      <c r="N24" s="1636">
        <v>378770</v>
      </c>
      <c r="O24" s="1636"/>
      <c r="P24" s="1635">
        <f t="shared" si="4"/>
        <v>378770</v>
      </c>
      <c r="Q24" s="1172"/>
      <c r="R24" s="1172"/>
      <c r="S24" s="1172"/>
      <c r="T24" s="1172"/>
      <c r="U24" s="1172"/>
      <c r="V24" s="1172"/>
      <c r="W24" s="1172"/>
      <c r="X24" s="1172"/>
      <c r="Y24" s="1172"/>
      <c r="Z24" s="1172"/>
      <c r="AA24" s="1172"/>
      <c r="AB24" s="1172"/>
      <c r="AC24" s="1172"/>
      <c r="AD24" s="1172"/>
      <c r="AE24" s="1172"/>
      <c r="AF24" s="1172"/>
      <c r="AG24" s="1172"/>
      <c r="AH24" s="1172"/>
      <c r="AI24" s="1172"/>
      <c r="AJ24" s="1172"/>
      <c r="AK24" s="1172"/>
      <c r="AL24" s="1172"/>
      <c r="AM24" s="1172"/>
      <c r="AN24" s="1172"/>
      <c r="AO24" s="1172"/>
      <c r="AP24" s="1172"/>
      <c r="AQ24" s="1172"/>
      <c r="AR24" s="1172"/>
      <c r="AS24" s="1172"/>
      <c r="AT24" s="1172"/>
      <c r="AU24" s="1172"/>
      <c r="AV24" s="1172"/>
      <c r="AW24" s="1172"/>
      <c r="AX24" s="1172"/>
      <c r="AY24" s="1172"/>
      <c r="AZ24" s="1172"/>
      <c r="BA24" s="1172"/>
      <c r="BB24" s="1172"/>
      <c r="BC24" s="1172"/>
      <c r="BD24" s="1172"/>
      <c r="BE24" s="1172"/>
      <c r="BF24" s="1172"/>
      <c r="BG24" s="1172"/>
      <c r="BH24" s="1172"/>
      <c r="BI24" s="1172"/>
      <c r="BJ24" s="1172"/>
      <c r="BK24" s="1172"/>
      <c r="BL24" s="1172"/>
      <c r="BM24" s="1172"/>
      <c r="BN24" s="1172"/>
      <c r="BO24" s="1172"/>
      <c r="BP24" s="1172"/>
      <c r="BQ24" s="1172"/>
      <c r="BR24" s="1172"/>
      <c r="BS24" s="1172"/>
      <c r="BT24" s="1172"/>
      <c r="BU24" s="1172"/>
      <c r="BV24" s="1172"/>
      <c r="BW24" s="1172"/>
      <c r="BX24" s="1172"/>
      <c r="BY24" s="1172"/>
      <c r="BZ24" s="1172"/>
      <c r="CA24" s="1172"/>
      <c r="CB24" s="1172"/>
      <c r="CC24" s="1172"/>
      <c r="CD24" s="1172"/>
      <c r="CE24" s="1172"/>
      <c r="CF24" s="1172"/>
      <c r="CG24" s="1172"/>
      <c r="CH24" s="1172"/>
      <c r="CI24" s="1172"/>
      <c r="CJ24" s="1172"/>
      <c r="CK24" s="1172"/>
      <c r="CL24" s="1172"/>
      <c r="CM24" s="1172"/>
      <c r="CN24" s="1172"/>
      <c r="CO24" s="1172"/>
      <c r="CP24" s="1172"/>
      <c r="CQ24" s="1172"/>
      <c r="CR24" s="1172"/>
      <c r="CS24" s="1172"/>
      <c r="CT24" s="1172"/>
      <c r="CU24" s="1172"/>
      <c r="CV24" s="1172"/>
      <c r="CW24" s="1172"/>
      <c r="CX24" s="1172"/>
      <c r="CY24" s="1172"/>
      <c r="CZ24" s="1172"/>
      <c r="DA24" s="1172"/>
      <c r="DB24" s="1172"/>
      <c r="DC24" s="1172"/>
      <c r="DD24" s="1172"/>
      <c r="DE24" s="1172"/>
      <c r="DF24" s="1172"/>
      <c r="DG24" s="1172"/>
      <c r="DH24" s="1172"/>
      <c r="DI24" s="1172"/>
      <c r="DJ24" s="1172"/>
      <c r="DK24" s="1172"/>
      <c r="DL24" s="1172"/>
      <c r="DM24" s="1172"/>
      <c r="DN24" s="1172"/>
      <c r="DO24" s="1172"/>
      <c r="DP24" s="1172"/>
      <c r="DQ24" s="1172"/>
      <c r="DR24" s="1172"/>
      <c r="DS24" s="1172"/>
      <c r="DT24" s="1172"/>
      <c r="DU24" s="1172"/>
      <c r="DV24" s="1172"/>
      <c r="DW24" s="1172"/>
      <c r="DX24" s="1172"/>
      <c r="DY24" s="1172"/>
      <c r="DZ24" s="1172"/>
      <c r="EA24" s="1172"/>
      <c r="EB24" s="1172"/>
      <c r="EC24" s="1172"/>
      <c r="ED24" s="1172"/>
      <c r="EE24" s="1172"/>
      <c r="EF24" s="1172"/>
      <c r="EG24" s="1172"/>
      <c r="EH24" s="1172"/>
      <c r="EI24" s="1172"/>
      <c r="EJ24" s="1172"/>
      <c r="EK24" s="1172"/>
      <c r="EL24" s="1172"/>
      <c r="EM24" s="1172"/>
      <c r="EN24" s="1172"/>
      <c r="EO24" s="1172"/>
      <c r="EP24" s="1172"/>
      <c r="EQ24" s="1172"/>
      <c r="ER24" s="1172"/>
      <c r="ES24" s="1172"/>
      <c r="ET24" s="1172"/>
      <c r="EU24" s="1172"/>
      <c r="EV24" s="1172"/>
      <c r="EW24" s="1172"/>
      <c r="EX24" s="1172"/>
      <c r="EY24" s="1172"/>
      <c r="EZ24" s="1172"/>
      <c r="FA24" s="1172"/>
      <c r="FB24" s="1172"/>
      <c r="FC24" s="1172"/>
      <c r="FD24" s="1172"/>
      <c r="FE24" s="1172"/>
      <c r="FF24" s="1172"/>
      <c r="FG24" s="1172"/>
      <c r="FH24" s="1172"/>
      <c r="FI24" s="1172"/>
      <c r="FJ24" s="1172"/>
      <c r="FK24" s="1172"/>
      <c r="FL24" s="1172"/>
      <c r="FM24" s="1172"/>
      <c r="FN24" s="1172"/>
      <c r="FO24" s="1172"/>
      <c r="FP24" s="1172"/>
      <c r="FQ24" s="1172"/>
      <c r="FR24" s="1172"/>
      <c r="FS24" s="1172"/>
      <c r="FT24" s="1172"/>
      <c r="FU24" s="1172"/>
      <c r="FV24" s="1172"/>
      <c r="FW24" s="1172"/>
      <c r="FX24" s="1172"/>
      <c r="FY24" s="1172"/>
      <c r="FZ24" s="1172"/>
      <c r="GA24" s="1172"/>
      <c r="GB24" s="1172"/>
      <c r="GC24" s="1172"/>
      <c r="GD24" s="1172"/>
      <c r="GE24" s="1172"/>
      <c r="GF24" s="1172"/>
      <c r="GG24" s="1172"/>
      <c r="GH24" s="1172"/>
      <c r="GI24" s="1172"/>
      <c r="GJ24" s="1172"/>
      <c r="GK24" s="1172"/>
      <c r="GL24" s="1172"/>
      <c r="GM24" s="1172"/>
      <c r="GN24" s="1172"/>
      <c r="GO24" s="1172"/>
      <c r="GP24" s="1172"/>
      <c r="GQ24" s="1172"/>
      <c r="GR24" s="1172"/>
      <c r="GS24" s="1172"/>
      <c r="GT24" s="1172"/>
      <c r="GU24" s="1172"/>
      <c r="GV24" s="1172"/>
      <c r="GW24" s="1172"/>
      <c r="GX24" s="1172"/>
      <c r="GY24" s="1172"/>
      <c r="GZ24" s="1172"/>
      <c r="HA24" s="1172"/>
      <c r="HB24" s="1172"/>
      <c r="HC24" s="1172"/>
      <c r="HD24" s="1172"/>
      <c r="HE24" s="1172"/>
      <c r="HF24" s="1172"/>
      <c r="HG24" s="1172"/>
      <c r="HH24" s="1172"/>
      <c r="HI24" s="1172"/>
      <c r="HJ24" s="1172"/>
      <c r="HK24" s="1172"/>
      <c r="HL24" s="1172"/>
      <c r="HM24" s="1172"/>
      <c r="HN24" s="1172"/>
      <c r="HO24" s="1172"/>
      <c r="HP24" s="1172"/>
      <c r="HQ24" s="1172"/>
      <c r="HR24" s="1172"/>
      <c r="HS24" s="1172"/>
      <c r="HT24" s="1172"/>
      <c r="HU24" s="1172"/>
      <c r="HV24" s="1172"/>
      <c r="HW24" s="1172"/>
      <c r="HX24" s="1172"/>
      <c r="HY24" s="1172"/>
      <c r="HZ24" s="1172"/>
      <c r="IA24" s="1172"/>
      <c r="IB24" s="1172"/>
      <c r="IC24" s="1172"/>
      <c r="ID24" s="1172"/>
      <c r="IE24" s="1172"/>
      <c r="IF24" s="1172"/>
      <c r="IG24" s="1172"/>
      <c r="IH24" s="1172"/>
      <c r="II24" s="1172"/>
      <c r="IJ24" s="1172"/>
      <c r="IK24" s="1172"/>
      <c r="IL24" s="1172"/>
      <c r="IM24" s="1172"/>
      <c r="IN24" s="1172"/>
      <c r="IO24" s="1172"/>
      <c r="IP24" s="1172"/>
      <c r="IQ24" s="1172"/>
      <c r="IR24" s="1172"/>
      <c r="IS24" s="1172"/>
      <c r="IT24" s="1172"/>
      <c r="IU24" s="1172"/>
      <c r="IV24" s="1172"/>
    </row>
    <row r="25" spans="1:256" ht="16.5" customHeight="1">
      <c r="A25" s="1177"/>
      <c r="B25" s="1178"/>
      <c r="C25" s="1178"/>
      <c r="D25" s="1178"/>
      <c r="E25" s="1178"/>
      <c r="F25" s="1178"/>
      <c r="G25" s="1178"/>
      <c r="H25" s="1178">
        <f t="shared" si="3"/>
        <v>0</v>
      </c>
      <c r="I25" s="1177" t="s">
        <v>502</v>
      </c>
      <c r="J25" s="1178"/>
      <c r="K25" s="1185"/>
      <c r="L25" s="549"/>
      <c r="M25" s="549"/>
      <c r="N25" s="549"/>
      <c r="O25" s="549"/>
      <c r="P25" s="1635">
        <f t="shared" si="4"/>
        <v>0</v>
      </c>
      <c r="Q25" s="1172"/>
      <c r="R25" s="1172"/>
      <c r="S25" s="1172"/>
      <c r="T25" s="1172"/>
      <c r="U25" s="1172"/>
      <c r="V25" s="1172"/>
      <c r="W25" s="1172"/>
      <c r="X25" s="1172"/>
      <c r="Y25" s="1172"/>
      <c r="Z25" s="1172"/>
      <c r="AA25" s="1172"/>
      <c r="AB25" s="1172"/>
      <c r="AC25" s="1172"/>
      <c r="AD25" s="1172"/>
      <c r="AE25" s="1172"/>
      <c r="AF25" s="1172"/>
      <c r="AG25" s="1172"/>
      <c r="AH25" s="1172"/>
      <c r="AI25" s="1172"/>
      <c r="AJ25" s="1172"/>
      <c r="AK25" s="1172"/>
      <c r="AL25" s="1172"/>
      <c r="AM25" s="1172"/>
      <c r="AN25" s="1172"/>
      <c r="AO25" s="1172"/>
      <c r="AP25" s="1172"/>
      <c r="AQ25" s="1172"/>
      <c r="AR25" s="1172"/>
      <c r="AS25" s="1172"/>
      <c r="AT25" s="1172"/>
      <c r="AU25" s="1172"/>
      <c r="AV25" s="1172"/>
      <c r="AW25" s="1172"/>
      <c r="AX25" s="1172"/>
      <c r="AY25" s="1172"/>
      <c r="AZ25" s="1172"/>
      <c r="BA25" s="1172"/>
      <c r="BB25" s="1172"/>
      <c r="BC25" s="1172"/>
      <c r="BD25" s="1172"/>
      <c r="BE25" s="1172"/>
      <c r="BF25" s="1172"/>
      <c r="BG25" s="1172"/>
      <c r="BH25" s="1172"/>
      <c r="BI25" s="1172"/>
      <c r="BJ25" s="1172"/>
      <c r="BK25" s="1172"/>
      <c r="BL25" s="1172"/>
      <c r="BM25" s="1172"/>
      <c r="BN25" s="1172"/>
      <c r="BO25" s="1172"/>
      <c r="BP25" s="1172"/>
      <c r="BQ25" s="1172"/>
      <c r="BR25" s="1172"/>
      <c r="BS25" s="1172"/>
      <c r="BT25" s="1172"/>
      <c r="BU25" s="1172"/>
      <c r="BV25" s="1172"/>
      <c r="BW25" s="1172"/>
      <c r="BX25" s="1172"/>
      <c r="BY25" s="1172"/>
      <c r="BZ25" s="1172"/>
      <c r="CA25" s="1172"/>
      <c r="CB25" s="1172"/>
      <c r="CC25" s="1172"/>
      <c r="CD25" s="1172"/>
      <c r="CE25" s="1172"/>
      <c r="CF25" s="1172"/>
      <c r="CG25" s="1172"/>
      <c r="CH25" s="1172"/>
      <c r="CI25" s="1172"/>
      <c r="CJ25" s="1172"/>
      <c r="CK25" s="1172"/>
      <c r="CL25" s="1172"/>
      <c r="CM25" s="1172"/>
      <c r="CN25" s="1172"/>
      <c r="CO25" s="1172"/>
      <c r="CP25" s="1172"/>
      <c r="CQ25" s="1172"/>
      <c r="CR25" s="1172"/>
      <c r="CS25" s="1172"/>
      <c r="CT25" s="1172"/>
      <c r="CU25" s="1172"/>
      <c r="CV25" s="1172"/>
      <c r="CW25" s="1172"/>
      <c r="CX25" s="1172"/>
      <c r="CY25" s="1172"/>
      <c r="CZ25" s="1172"/>
      <c r="DA25" s="1172"/>
      <c r="DB25" s="1172"/>
      <c r="DC25" s="1172"/>
      <c r="DD25" s="1172"/>
      <c r="DE25" s="1172"/>
      <c r="DF25" s="1172"/>
      <c r="DG25" s="1172"/>
      <c r="DH25" s="1172"/>
      <c r="DI25" s="1172"/>
      <c r="DJ25" s="1172"/>
      <c r="DK25" s="1172"/>
      <c r="DL25" s="1172"/>
      <c r="DM25" s="1172"/>
      <c r="DN25" s="1172"/>
      <c r="DO25" s="1172"/>
      <c r="DP25" s="1172"/>
      <c r="DQ25" s="1172"/>
      <c r="DR25" s="1172"/>
      <c r="DS25" s="1172"/>
      <c r="DT25" s="1172"/>
      <c r="DU25" s="1172"/>
      <c r="DV25" s="1172"/>
      <c r="DW25" s="1172"/>
      <c r="DX25" s="1172"/>
      <c r="DY25" s="1172"/>
      <c r="DZ25" s="1172"/>
      <c r="EA25" s="1172"/>
      <c r="EB25" s="1172"/>
      <c r="EC25" s="1172"/>
      <c r="ED25" s="1172"/>
      <c r="EE25" s="1172"/>
      <c r="EF25" s="1172"/>
      <c r="EG25" s="1172"/>
      <c r="EH25" s="1172"/>
      <c r="EI25" s="1172"/>
      <c r="EJ25" s="1172"/>
      <c r="EK25" s="1172"/>
      <c r="EL25" s="1172"/>
      <c r="EM25" s="1172"/>
      <c r="EN25" s="1172"/>
      <c r="EO25" s="1172"/>
      <c r="EP25" s="1172"/>
      <c r="EQ25" s="1172"/>
      <c r="ER25" s="1172"/>
      <c r="ES25" s="1172"/>
      <c r="ET25" s="1172"/>
      <c r="EU25" s="1172"/>
      <c r="EV25" s="1172"/>
      <c r="EW25" s="1172"/>
      <c r="EX25" s="1172"/>
      <c r="EY25" s="1172"/>
      <c r="EZ25" s="1172"/>
      <c r="FA25" s="1172"/>
      <c r="FB25" s="1172"/>
      <c r="FC25" s="1172"/>
      <c r="FD25" s="1172"/>
      <c r="FE25" s="1172"/>
      <c r="FF25" s="1172"/>
      <c r="FG25" s="1172"/>
      <c r="FH25" s="1172"/>
      <c r="FI25" s="1172"/>
      <c r="FJ25" s="1172"/>
      <c r="FK25" s="1172"/>
      <c r="FL25" s="1172"/>
      <c r="FM25" s="1172"/>
      <c r="FN25" s="1172"/>
      <c r="FO25" s="1172"/>
      <c r="FP25" s="1172"/>
      <c r="FQ25" s="1172"/>
      <c r="FR25" s="1172"/>
      <c r="FS25" s="1172"/>
      <c r="FT25" s="1172"/>
      <c r="FU25" s="1172"/>
      <c r="FV25" s="1172"/>
      <c r="FW25" s="1172"/>
      <c r="FX25" s="1172"/>
      <c r="FY25" s="1172"/>
      <c r="FZ25" s="1172"/>
      <c r="GA25" s="1172"/>
      <c r="GB25" s="1172"/>
      <c r="GC25" s="1172"/>
      <c r="GD25" s="1172"/>
      <c r="GE25" s="1172"/>
      <c r="GF25" s="1172"/>
      <c r="GG25" s="1172"/>
      <c r="GH25" s="1172"/>
      <c r="GI25" s="1172"/>
      <c r="GJ25" s="1172"/>
      <c r="GK25" s="1172"/>
      <c r="GL25" s="1172"/>
      <c r="GM25" s="1172"/>
      <c r="GN25" s="1172"/>
      <c r="GO25" s="1172"/>
      <c r="GP25" s="1172"/>
      <c r="GQ25" s="1172"/>
      <c r="GR25" s="1172"/>
      <c r="GS25" s="1172"/>
      <c r="GT25" s="1172"/>
      <c r="GU25" s="1172"/>
      <c r="GV25" s="1172"/>
      <c r="GW25" s="1172"/>
      <c r="GX25" s="1172"/>
      <c r="GY25" s="1172"/>
      <c r="GZ25" s="1172"/>
      <c r="HA25" s="1172"/>
      <c r="HB25" s="1172"/>
      <c r="HC25" s="1172"/>
      <c r="HD25" s="1172"/>
      <c r="HE25" s="1172"/>
      <c r="HF25" s="1172"/>
      <c r="HG25" s="1172"/>
      <c r="HH25" s="1172"/>
      <c r="HI25" s="1172"/>
      <c r="HJ25" s="1172"/>
      <c r="HK25" s="1172"/>
      <c r="HL25" s="1172"/>
      <c r="HM25" s="1172"/>
      <c r="HN25" s="1172"/>
      <c r="HO25" s="1172"/>
      <c r="HP25" s="1172"/>
      <c r="HQ25" s="1172"/>
      <c r="HR25" s="1172"/>
      <c r="HS25" s="1172"/>
      <c r="HT25" s="1172"/>
      <c r="HU25" s="1172"/>
      <c r="HV25" s="1172"/>
      <c r="HW25" s="1172"/>
      <c r="HX25" s="1172"/>
      <c r="HY25" s="1172"/>
      <c r="HZ25" s="1172"/>
      <c r="IA25" s="1172"/>
      <c r="IB25" s="1172"/>
      <c r="IC25" s="1172"/>
      <c r="ID25" s="1172"/>
      <c r="IE25" s="1172"/>
      <c r="IF25" s="1172"/>
      <c r="IG25" s="1172"/>
      <c r="IH25" s="1172"/>
      <c r="II25" s="1172"/>
      <c r="IJ25" s="1172"/>
      <c r="IK25" s="1172"/>
      <c r="IL25" s="1172"/>
      <c r="IM25" s="1172"/>
      <c r="IN25" s="1172"/>
      <c r="IO25" s="1172"/>
      <c r="IP25" s="1172"/>
      <c r="IQ25" s="1172"/>
      <c r="IR25" s="1172"/>
      <c r="IS25" s="1172"/>
      <c r="IT25" s="1172"/>
      <c r="IU25" s="1172"/>
      <c r="IV25" s="1172"/>
    </row>
    <row r="26" spans="1:256" ht="16.5" customHeight="1">
      <c r="A26" s="1177"/>
      <c r="B26" s="1178"/>
      <c r="C26" s="1178"/>
      <c r="D26" s="1178"/>
      <c r="E26" s="1178"/>
      <c r="F26" s="1178"/>
      <c r="G26" s="1178"/>
      <c r="H26" s="1178">
        <f t="shared" si="3"/>
        <v>0</v>
      </c>
      <c r="I26" s="1177" t="s">
        <v>495</v>
      </c>
      <c r="J26" s="1178">
        <v>46294271</v>
      </c>
      <c r="K26" s="1178"/>
      <c r="L26" s="1636">
        <v>1285467</v>
      </c>
      <c r="M26" s="1636">
        <v>94588</v>
      </c>
      <c r="N26" s="1636">
        <v>325007</v>
      </c>
      <c r="O26" s="1636">
        <v>770543</v>
      </c>
      <c r="P26" s="1635">
        <f t="shared" si="4"/>
        <v>48769876</v>
      </c>
      <c r="Q26" s="1172"/>
      <c r="R26" s="1172"/>
      <c r="S26" s="1172"/>
      <c r="T26" s="1172"/>
      <c r="U26" s="1172"/>
      <c r="V26" s="1172"/>
      <c r="W26" s="1172"/>
      <c r="X26" s="1172"/>
      <c r="Y26" s="1172"/>
      <c r="Z26" s="1172"/>
      <c r="AA26" s="1172"/>
      <c r="AB26" s="1172"/>
      <c r="AC26" s="1172"/>
      <c r="AD26" s="1172"/>
      <c r="AE26" s="1172"/>
      <c r="AF26" s="1172"/>
      <c r="AG26" s="1172"/>
      <c r="AH26" s="1172"/>
      <c r="AI26" s="1172"/>
      <c r="AJ26" s="1172"/>
      <c r="AK26" s="1172"/>
      <c r="AL26" s="1172"/>
      <c r="AM26" s="1172"/>
      <c r="AN26" s="1172"/>
      <c r="AO26" s="1172"/>
      <c r="AP26" s="1172"/>
      <c r="AQ26" s="1172"/>
      <c r="AR26" s="1172"/>
      <c r="AS26" s="1172"/>
      <c r="AT26" s="1172"/>
      <c r="AU26" s="1172"/>
      <c r="AV26" s="1172"/>
      <c r="AW26" s="1172"/>
      <c r="AX26" s="1172"/>
      <c r="AY26" s="1172"/>
      <c r="AZ26" s="1172"/>
      <c r="BA26" s="1172"/>
      <c r="BB26" s="1172"/>
      <c r="BC26" s="1172"/>
      <c r="BD26" s="1172"/>
      <c r="BE26" s="1172"/>
      <c r="BF26" s="1172"/>
      <c r="BG26" s="1172"/>
      <c r="BH26" s="1172"/>
      <c r="BI26" s="1172"/>
      <c r="BJ26" s="1172"/>
      <c r="BK26" s="1172"/>
      <c r="BL26" s="1172"/>
      <c r="BM26" s="1172"/>
      <c r="BN26" s="1172"/>
      <c r="BO26" s="1172"/>
      <c r="BP26" s="1172"/>
      <c r="BQ26" s="1172"/>
      <c r="BR26" s="1172"/>
      <c r="BS26" s="1172"/>
      <c r="BT26" s="1172"/>
      <c r="BU26" s="1172"/>
      <c r="BV26" s="1172"/>
      <c r="BW26" s="1172"/>
      <c r="BX26" s="1172"/>
      <c r="BY26" s="1172"/>
      <c r="BZ26" s="1172"/>
      <c r="CA26" s="1172"/>
      <c r="CB26" s="1172"/>
      <c r="CC26" s="1172"/>
      <c r="CD26" s="1172"/>
      <c r="CE26" s="1172"/>
      <c r="CF26" s="1172"/>
      <c r="CG26" s="1172"/>
      <c r="CH26" s="1172"/>
      <c r="CI26" s="1172"/>
      <c r="CJ26" s="1172"/>
      <c r="CK26" s="1172"/>
      <c r="CL26" s="1172"/>
      <c r="CM26" s="1172"/>
      <c r="CN26" s="1172"/>
      <c r="CO26" s="1172"/>
      <c r="CP26" s="1172"/>
      <c r="CQ26" s="1172"/>
      <c r="CR26" s="1172"/>
      <c r="CS26" s="1172"/>
      <c r="CT26" s="1172"/>
      <c r="CU26" s="1172"/>
      <c r="CV26" s="1172"/>
      <c r="CW26" s="1172"/>
      <c r="CX26" s="1172"/>
      <c r="CY26" s="1172"/>
      <c r="CZ26" s="1172"/>
      <c r="DA26" s="1172"/>
      <c r="DB26" s="1172"/>
      <c r="DC26" s="1172"/>
      <c r="DD26" s="1172"/>
      <c r="DE26" s="1172"/>
      <c r="DF26" s="1172"/>
      <c r="DG26" s="1172"/>
      <c r="DH26" s="1172"/>
      <c r="DI26" s="1172"/>
      <c r="DJ26" s="1172"/>
      <c r="DK26" s="1172"/>
      <c r="DL26" s="1172"/>
      <c r="DM26" s="1172"/>
      <c r="DN26" s="1172"/>
      <c r="DO26" s="1172"/>
      <c r="DP26" s="1172"/>
      <c r="DQ26" s="1172"/>
      <c r="DR26" s="1172"/>
      <c r="DS26" s="1172"/>
      <c r="DT26" s="1172"/>
      <c r="DU26" s="1172"/>
      <c r="DV26" s="1172"/>
      <c r="DW26" s="1172"/>
      <c r="DX26" s="1172"/>
      <c r="DY26" s="1172"/>
      <c r="DZ26" s="1172"/>
      <c r="EA26" s="1172"/>
      <c r="EB26" s="1172"/>
      <c r="EC26" s="1172"/>
      <c r="ED26" s="1172"/>
      <c r="EE26" s="1172"/>
      <c r="EF26" s="1172"/>
      <c r="EG26" s="1172"/>
      <c r="EH26" s="1172"/>
      <c r="EI26" s="1172"/>
      <c r="EJ26" s="1172"/>
      <c r="EK26" s="1172"/>
      <c r="EL26" s="1172"/>
      <c r="EM26" s="1172"/>
      <c r="EN26" s="1172"/>
      <c r="EO26" s="1172"/>
      <c r="EP26" s="1172"/>
      <c r="EQ26" s="1172"/>
      <c r="ER26" s="1172"/>
      <c r="ES26" s="1172"/>
      <c r="ET26" s="1172"/>
      <c r="EU26" s="1172"/>
      <c r="EV26" s="1172"/>
      <c r="EW26" s="1172"/>
      <c r="EX26" s="1172"/>
      <c r="EY26" s="1172"/>
      <c r="EZ26" s="1172"/>
      <c r="FA26" s="1172"/>
      <c r="FB26" s="1172"/>
      <c r="FC26" s="1172"/>
      <c r="FD26" s="1172"/>
      <c r="FE26" s="1172"/>
      <c r="FF26" s="1172"/>
      <c r="FG26" s="1172"/>
      <c r="FH26" s="1172"/>
      <c r="FI26" s="1172"/>
      <c r="FJ26" s="1172"/>
      <c r="FK26" s="1172"/>
      <c r="FL26" s="1172"/>
      <c r="FM26" s="1172"/>
      <c r="FN26" s="1172"/>
      <c r="FO26" s="1172"/>
      <c r="FP26" s="1172"/>
      <c r="FQ26" s="1172"/>
      <c r="FR26" s="1172"/>
      <c r="FS26" s="1172"/>
      <c r="FT26" s="1172"/>
      <c r="FU26" s="1172"/>
      <c r="FV26" s="1172"/>
      <c r="FW26" s="1172"/>
      <c r="FX26" s="1172"/>
      <c r="FY26" s="1172"/>
      <c r="FZ26" s="1172"/>
      <c r="GA26" s="1172"/>
      <c r="GB26" s="1172"/>
      <c r="GC26" s="1172"/>
      <c r="GD26" s="1172"/>
      <c r="GE26" s="1172"/>
      <c r="GF26" s="1172"/>
      <c r="GG26" s="1172"/>
      <c r="GH26" s="1172"/>
      <c r="GI26" s="1172"/>
      <c r="GJ26" s="1172"/>
      <c r="GK26" s="1172"/>
      <c r="GL26" s="1172"/>
      <c r="GM26" s="1172"/>
      <c r="GN26" s="1172"/>
      <c r="GO26" s="1172"/>
      <c r="GP26" s="1172"/>
      <c r="GQ26" s="1172"/>
      <c r="GR26" s="1172"/>
      <c r="GS26" s="1172"/>
      <c r="GT26" s="1172"/>
      <c r="GU26" s="1172"/>
      <c r="GV26" s="1172"/>
      <c r="GW26" s="1172"/>
      <c r="GX26" s="1172"/>
      <c r="GY26" s="1172"/>
      <c r="GZ26" s="1172"/>
      <c r="HA26" s="1172"/>
      <c r="HB26" s="1172"/>
      <c r="HC26" s="1172"/>
      <c r="HD26" s="1172"/>
      <c r="HE26" s="1172"/>
      <c r="HF26" s="1172"/>
      <c r="HG26" s="1172"/>
      <c r="HH26" s="1172"/>
      <c r="HI26" s="1172"/>
      <c r="HJ26" s="1172"/>
      <c r="HK26" s="1172"/>
      <c r="HL26" s="1172"/>
      <c r="HM26" s="1172"/>
      <c r="HN26" s="1172"/>
      <c r="HO26" s="1172"/>
      <c r="HP26" s="1172"/>
      <c r="HQ26" s="1172"/>
      <c r="HR26" s="1172"/>
      <c r="HS26" s="1172"/>
      <c r="HT26" s="1172"/>
      <c r="HU26" s="1172"/>
      <c r="HV26" s="1172"/>
      <c r="HW26" s="1172"/>
      <c r="HX26" s="1172"/>
      <c r="HY26" s="1172"/>
      <c r="HZ26" s="1172"/>
      <c r="IA26" s="1172"/>
      <c r="IB26" s="1172"/>
      <c r="IC26" s="1172"/>
      <c r="ID26" s="1172"/>
      <c r="IE26" s="1172"/>
      <c r="IF26" s="1172"/>
      <c r="IG26" s="1172"/>
      <c r="IH26" s="1172"/>
      <c r="II26" s="1172"/>
      <c r="IJ26" s="1172"/>
      <c r="IK26" s="1172"/>
      <c r="IL26" s="1172"/>
      <c r="IM26" s="1172"/>
      <c r="IN26" s="1172"/>
      <c r="IO26" s="1172"/>
      <c r="IP26" s="1172"/>
      <c r="IQ26" s="1172"/>
      <c r="IR26" s="1172"/>
      <c r="IS26" s="1172"/>
      <c r="IT26" s="1172"/>
      <c r="IU26" s="1172"/>
      <c r="IV26" s="1172"/>
    </row>
    <row r="27" spans="1:256" ht="16.5" customHeight="1">
      <c r="A27" s="1182" t="s">
        <v>493</v>
      </c>
      <c r="B27" s="1183">
        <f aca="true" t="shared" si="5" ref="B27:H27">SUM(B21:B26)</f>
        <v>634618665</v>
      </c>
      <c r="C27" s="1183">
        <f t="shared" si="5"/>
        <v>0</v>
      </c>
      <c r="D27" s="1183">
        <f t="shared" si="5"/>
        <v>1285467</v>
      </c>
      <c r="E27" s="1183">
        <f t="shared" si="5"/>
        <v>894588</v>
      </c>
      <c r="F27" s="1183">
        <f t="shared" si="5"/>
        <v>703777</v>
      </c>
      <c r="G27" s="1183">
        <f t="shared" si="5"/>
        <v>770543</v>
      </c>
      <c r="H27" s="1183">
        <f t="shared" si="5"/>
        <v>638273040</v>
      </c>
      <c r="I27" s="1182" t="s">
        <v>493</v>
      </c>
      <c r="J27" s="1183">
        <f aca="true" t="shared" si="6" ref="J27:O27">SUM(J21:J26)</f>
        <v>634618665</v>
      </c>
      <c r="K27" s="1183">
        <f t="shared" si="6"/>
        <v>0</v>
      </c>
      <c r="L27" s="1183">
        <f t="shared" si="6"/>
        <v>1285467</v>
      </c>
      <c r="M27" s="1183">
        <f t="shared" si="6"/>
        <v>894588</v>
      </c>
      <c r="N27" s="1183">
        <f t="shared" si="6"/>
        <v>703777</v>
      </c>
      <c r="O27" s="1183">
        <f t="shared" si="6"/>
        <v>770543</v>
      </c>
      <c r="P27" s="1183">
        <f>SUM(P21:P23)+P26+P24</f>
        <v>638273040</v>
      </c>
      <c r="Q27" s="1172"/>
      <c r="R27" s="1172"/>
      <c r="S27" s="1172"/>
      <c r="T27" s="1172"/>
      <c r="U27" s="1172"/>
      <c r="V27" s="1172"/>
      <c r="W27" s="1172"/>
      <c r="X27" s="1172"/>
      <c r="Y27" s="1172"/>
      <c r="Z27" s="1172"/>
      <c r="AA27" s="1172"/>
      <c r="AB27" s="1172"/>
      <c r="AC27" s="1172"/>
      <c r="AD27" s="1172"/>
      <c r="AE27" s="1172"/>
      <c r="AF27" s="1172"/>
      <c r="AG27" s="1172"/>
      <c r="AH27" s="1172"/>
      <c r="AI27" s="1172"/>
      <c r="AJ27" s="1172"/>
      <c r="AK27" s="1172"/>
      <c r="AL27" s="1172"/>
      <c r="AM27" s="1172"/>
      <c r="AN27" s="1172"/>
      <c r="AO27" s="1172"/>
      <c r="AP27" s="1172"/>
      <c r="AQ27" s="1172"/>
      <c r="AR27" s="1172"/>
      <c r="AS27" s="1172"/>
      <c r="AT27" s="1172"/>
      <c r="AU27" s="1172"/>
      <c r="AV27" s="1172"/>
      <c r="AW27" s="1172"/>
      <c r="AX27" s="1172"/>
      <c r="AY27" s="1172"/>
      <c r="AZ27" s="1172"/>
      <c r="BA27" s="1172"/>
      <c r="BB27" s="1172"/>
      <c r="BC27" s="1172"/>
      <c r="BD27" s="1172"/>
      <c r="BE27" s="1172"/>
      <c r="BF27" s="1172"/>
      <c r="BG27" s="1172"/>
      <c r="BH27" s="1172"/>
      <c r="BI27" s="1172"/>
      <c r="BJ27" s="1172"/>
      <c r="BK27" s="1172"/>
      <c r="BL27" s="1172"/>
      <c r="BM27" s="1172"/>
      <c r="BN27" s="1172"/>
      <c r="BO27" s="1172"/>
      <c r="BP27" s="1172"/>
      <c r="BQ27" s="1172"/>
      <c r="BR27" s="1172"/>
      <c r="BS27" s="1172"/>
      <c r="BT27" s="1172"/>
      <c r="BU27" s="1172"/>
      <c r="BV27" s="1172"/>
      <c r="BW27" s="1172"/>
      <c r="BX27" s="1172"/>
      <c r="BY27" s="1172"/>
      <c r="BZ27" s="1172"/>
      <c r="CA27" s="1172"/>
      <c r="CB27" s="1172"/>
      <c r="CC27" s="1172"/>
      <c r="CD27" s="1172"/>
      <c r="CE27" s="1172"/>
      <c r="CF27" s="1172"/>
      <c r="CG27" s="1172"/>
      <c r="CH27" s="1172"/>
      <c r="CI27" s="1172"/>
      <c r="CJ27" s="1172"/>
      <c r="CK27" s="1172"/>
      <c r="CL27" s="1172"/>
      <c r="CM27" s="1172"/>
      <c r="CN27" s="1172"/>
      <c r="CO27" s="1172"/>
      <c r="CP27" s="1172"/>
      <c r="CQ27" s="1172"/>
      <c r="CR27" s="1172"/>
      <c r="CS27" s="1172"/>
      <c r="CT27" s="1172"/>
      <c r="CU27" s="1172"/>
      <c r="CV27" s="1172"/>
      <c r="CW27" s="1172"/>
      <c r="CX27" s="1172"/>
      <c r="CY27" s="1172"/>
      <c r="CZ27" s="1172"/>
      <c r="DA27" s="1172"/>
      <c r="DB27" s="1172"/>
      <c r="DC27" s="1172"/>
      <c r="DD27" s="1172"/>
      <c r="DE27" s="1172"/>
      <c r="DF27" s="1172"/>
      <c r="DG27" s="1172"/>
      <c r="DH27" s="1172"/>
      <c r="DI27" s="1172"/>
      <c r="DJ27" s="1172"/>
      <c r="DK27" s="1172"/>
      <c r="DL27" s="1172"/>
      <c r="DM27" s="1172"/>
      <c r="DN27" s="1172"/>
      <c r="DO27" s="1172"/>
      <c r="DP27" s="1172"/>
      <c r="DQ27" s="1172"/>
      <c r="DR27" s="1172"/>
      <c r="DS27" s="1172"/>
      <c r="DT27" s="1172"/>
      <c r="DU27" s="1172"/>
      <c r="DV27" s="1172"/>
      <c r="DW27" s="1172"/>
      <c r="DX27" s="1172"/>
      <c r="DY27" s="1172"/>
      <c r="DZ27" s="1172"/>
      <c r="EA27" s="1172"/>
      <c r="EB27" s="1172"/>
      <c r="EC27" s="1172"/>
      <c r="ED27" s="1172"/>
      <c r="EE27" s="1172"/>
      <c r="EF27" s="1172"/>
      <c r="EG27" s="1172"/>
      <c r="EH27" s="1172"/>
      <c r="EI27" s="1172"/>
      <c r="EJ27" s="1172"/>
      <c r="EK27" s="1172"/>
      <c r="EL27" s="1172"/>
      <c r="EM27" s="1172"/>
      <c r="EN27" s="1172"/>
      <c r="EO27" s="1172"/>
      <c r="EP27" s="1172"/>
      <c r="EQ27" s="1172"/>
      <c r="ER27" s="1172"/>
      <c r="ES27" s="1172"/>
      <c r="ET27" s="1172"/>
      <c r="EU27" s="1172"/>
      <c r="EV27" s="1172"/>
      <c r="EW27" s="1172"/>
      <c r="EX27" s="1172"/>
      <c r="EY27" s="1172"/>
      <c r="EZ27" s="1172"/>
      <c r="FA27" s="1172"/>
      <c r="FB27" s="1172"/>
      <c r="FC27" s="1172"/>
      <c r="FD27" s="1172"/>
      <c r="FE27" s="1172"/>
      <c r="FF27" s="1172"/>
      <c r="FG27" s="1172"/>
      <c r="FH27" s="1172"/>
      <c r="FI27" s="1172"/>
      <c r="FJ27" s="1172"/>
      <c r="FK27" s="1172"/>
      <c r="FL27" s="1172"/>
      <c r="FM27" s="1172"/>
      <c r="FN27" s="1172"/>
      <c r="FO27" s="1172"/>
      <c r="FP27" s="1172"/>
      <c r="FQ27" s="1172"/>
      <c r="FR27" s="1172"/>
      <c r="FS27" s="1172"/>
      <c r="FT27" s="1172"/>
      <c r="FU27" s="1172"/>
      <c r="FV27" s="1172"/>
      <c r="FW27" s="1172"/>
      <c r="FX27" s="1172"/>
      <c r="FY27" s="1172"/>
      <c r="FZ27" s="1172"/>
      <c r="GA27" s="1172"/>
      <c r="GB27" s="1172"/>
      <c r="GC27" s="1172"/>
      <c r="GD27" s="1172"/>
      <c r="GE27" s="1172"/>
      <c r="GF27" s="1172"/>
      <c r="GG27" s="1172"/>
      <c r="GH27" s="1172"/>
      <c r="GI27" s="1172"/>
      <c r="GJ27" s="1172"/>
      <c r="GK27" s="1172"/>
      <c r="GL27" s="1172"/>
      <c r="GM27" s="1172"/>
      <c r="GN27" s="1172"/>
      <c r="GO27" s="1172"/>
      <c r="GP27" s="1172"/>
      <c r="GQ27" s="1172"/>
      <c r="GR27" s="1172"/>
      <c r="GS27" s="1172"/>
      <c r="GT27" s="1172"/>
      <c r="GU27" s="1172"/>
      <c r="GV27" s="1172"/>
      <c r="GW27" s="1172"/>
      <c r="GX27" s="1172"/>
      <c r="GY27" s="1172"/>
      <c r="GZ27" s="1172"/>
      <c r="HA27" s="1172"/>
      <c r="HB27" s="1172"/>
      <c r="HC27" s="1172"/>
      <c r="HD27" s="1172"/>
      <c r="HE27" s="1172"/>
      <c r="HF27" s="1172"/>
      <c r="HG27" s="1172"/>
      <c r="HH27" s="1172"/>
      <c r="HI27" s="1172"/>
      <c r="HJ27" s="1172"/>
      <c r="HK27" s="1172"/>
      <c r="HL27" s="1172"/>
      <c r="HM27" s="1172"/>
      <c r="HN27" s="1172"/>
      <c r="HO27" s="1172"/>
      <c r="HP27" s="1172"/>
      <c r="HQ27" s="1172"/>
      <c r="HR27" s="1172"/>
      <c r="HS27" s="1172"/>
      <c r="HT27" s="1172"/>
      <c r="HU27" s="1172"/>
      <c r="HV27" s="1172"/>
      <c r="HW27" s="1172"/>
      <c r="HX27" s="1172"/>
      <c r="HY27" s="1172"/>
      <c r="HZ27" s="1172"/>
      <c r="IA27" s="1172"/>
      <c r="IB27" s="1172"/>
      <c r="IC27" s="1172"/>
      <c r="ID27" s="1172"/>
      <c r="IE27" s="1172"/>
      <c r="IF27" s="1172"/>
      <c r="IG27" s="1172"/>
      <c r="IH27" s="1172"/>
      <c r="II27" s="1172"/>
      <c r="IJ27" s="1172"/>
      <c r="IK27" s="1172"/>
      <c r="IL27" s="1172"/>
      <c r="IM27" s="1172"/>
      <c r="IN27" s="1172"/>
      <c r="IO27" s="1172"/>
      <c r="IP27" s="1172"/>
      <c r="IQ27" s="1172"/>
      <c r="IR27" s="1172"/>
      <c r="IS27" s="1172"/>
      <c r="IT27" s="1172"/>
      <c r="IU27" s="1172"/>
      <c r="IV27" s="1172"/>
    </row>
    <row r="28" spans="1:256" ht="16.5" customHeight="1">
      <c r="A28" s="1174" t="s">
        <v>503</v>
      </c>
      <c r="B28" s="1186">
        <f aca="true" t="shared" si="7" ref="B28:H28">SUM(B18+B27)</f>
        <v>1158146032</v>
      </c>
      <c r="C28" s="1186">
        <f t="shared" si="7"/>
        <v>10205000</v>
      </c>
      <c r="D28" s="1186">
        <f t="shared" si="7"/>
        <v>80440449</v>
      </c>
      <c r="E28" s="1186">
        <f t="shared" si="7"/>
        <v>117803298</v>
      </c>
      <c r="F28" s="1186">
        <f t="shared" si="7"/>
        <v>15216808</v>
      </c>
      <c r="G28" s="1186">
        <f t="shared" si="7"/>
        <v>88180563</v>
      </c>
      <c r="H28" s="1186">
        <f t="shared" si="7"/>
        <v>1469992150</v>
      </c>
      <c r="I28" s="1174" t="s">
        <v>504</v>
      </c>
      <c r="J28" s="1186">
        <f aca="true" t="shared" si="8" ref="J28:O28">SUM(J18+J27)</f>
        <v>1168351032</v>
      </c>
      <c r="K28" s="1186">
        <f t="shared" si="8"/>
        <v>0</v>
      </c>
      <c r="L28" s="1186">
        <f t="shared" si="8"/>
        <v>80440449</v>
      </c>
      <c r="M28" s="1186">
        <f t="shared" si="8"/>
        <v>117803298</v>
      </c>
      <c r="N28" s="1186">
        <f t="shared" si="8"/>
        <v>15216808</v>
      </c>
      <c r="O28" s="1186">
        <f t="shared" si="8"/>
        <v>88180563</v>
      </c>
      <c r="P28" s="1186">
        <f>SUM(P18+P27)</f>
        <v>1469992150</v>
      </c>
      <c r="Q28" s="1172"/>
      <c r="R28" s="1172"/>
      <c r="S28" s="1172"/>
      <c r="T28" s="1172"/>
      <c r="U28" s="1172"/>
      <c r="V28" s="1172"/>
      <c r="W28" s="1172"/>
      <c r="X28" s="1172"/>
      <c r="Y28" s="1172"/>
      <c r="Z28" s="1172"/>
      <c r="AA28" s="1172"/>
      <c r="AB28" s="1172"/>
      <c r="AC28" s="1172"/>
      <c r="AD28" s="1172"/>
      <c r="AE28" s="1172"/>
      <c r="AF28" s="1172"/>
      <c r="AG28" s="1172"/>
      <c r="AH28" s="1172"/>
      <c r="AI28" s="1172"/>
      <c r="AJ28" s="1172"/>
      <c r="AK28" s="1172"/>
      <c r="AL28" s="1172"/>
      <c r="AM28" s="1172"/>
      <c r="AN28" s="1172"/>
      <c r="AO28" s="1172"/>
      <c r="AP28" s="1172"/>
      <c r="AQ28" s="1172"/>
      <c r="AR28" s="1172"/>
      <c r="AS28" s="1172"/>
      <c r="AT28" s="1172"/>
      <c r="AU28" s="1172"/>
      <c r="AV28" s="1172"/>
      <c r="AW28" s="1172"/>
      <c r="AX28" s="1172"/>
      <c r="AY28" s="1172"/>
      <c r="AZ28" s="1172"/>
      <c r="BA28" s="1172"/>
      <c r="BB28" s="1172"/>
      <c r="BC28" s="1172"/>
      <c r="BD28" s="1172"/>
      <c r="BE28" s="1172"/>
      <c r="BF28" s="1172"/>
      <c r="BG28" s="1172"/>
      <c r="BH28" s="1172"/>
      <c r="BI28" s="1172"/>
      <c r="BJ28" s="1172"/>
      <c r="BK28" s="1172"/>
      <c r="BL28" s="1172"/>
      <c r="BM28" s="1172"/>
      <c r="BN28" s="1172"/>
      <c r="BO28" s="1172"/>
      <c r="BP28" s="1172"/>
      <c r="BQ28" s="1172"/>
      <c r="BR28" s="1172"/>
      <c r="BS28" s="1172"/>
      <c r="BT28" s="1172"/>
      <c r="BU28" s="1172"/>
      <c r="BV28" s="1172"/>
      <c r="BW28" s="1172"/>
      <c r="BX28" s="1172"/>
      <c r="BY28" s="1172"/>
      <c r="BZ28" s="1172"/>
      <c r="CA28" s="1172"/>
      <c r="CB28" s="1172"/>
      <c r="CC28" s="1172"/>
      <c r="CD28" s="1172"/>
      <c r="CE28" s="1172"/>
      <c r="CF28" s="1172"/>
      <c r="CG28" s="1172"/>
      <c r="CH28" s="1172"/>
      <c r="CI28" s="1172"/>
      <c r="CJ28" s="1172"/>
      <c r="CK28" s="1172"/>
      <c r="CL28" s="1172"/>
      <c r="CM28" s="1172"/>
      <c r="CN28" s="1172"/>
      <c r="CO28" s="1172"/>
      <c r="CP28" s="1172"/>
      <c r="CQ28" s="1172"/>
      <c r="CR28" s="1172"/>
      <c r="CS28" s="1172"/>
      <c r="CT28" s="1172"/>
      <c r="CU28" s="1172"/>
      <c r="CV28" s="1172"/>
      <c r="CW28" s="1172"/>
      <c r="CX28" s="1172"/>
      <c r="CY28" s="1172"/>
      <c r="CZ28" s="1172"/>
      <c r="DA28" s="1172"/>
      <c r="DB28" s="1172"/>
      <c r="DC28" s="1172"/>
      <c r="DD28" s="1172"/>
      <c r="DE28" s="1172"/>
      <c r="DF28" s="1172"/>
      <c r="DG28" s="1172"/>
      <c r="DH28" s="1172"/>
      <c r="DI28" s="1172"/>
      <c r="DJ28" s="1172"/>
      <c r="DK28" s="1172"/>
      <c r="DL28" s="1172"/>
      <c r="DM28" s="1172"/>
      <c r="DN28" s="1172"/>
      <c r="DO28" s="1172"/>
      <c r="DP28" s="1172"/>
      <c r="DQ28" s="1172"/>
      <c r="DR28" s="1172"/>
      <c r="DS28" s="1172"/>
      <c r="DT28" s="1172"/>
      <c r="DU28" s="1172"/>
      <c r="DV28" s="1172"/>
      <c r="DW28" s="1172"/>
      <c r="DX28" s="1172"/>
      <c r="DY28" s="1172"/>
      <c r="DZ28" s="1172"/>
      <c r="EA28" s="1172"/>
      <c r="EB28" s="1172"/>
      <c r="EC28" s="1172"/>
      <c r="ED28" s="1172"/>
      <c r="EE28" s="1172"/>
      <c r="EF28" s="1172"/>
      <c r="EG28" s="1172"/>
      <c r="EH28" s="1172"/>
      <c r="EI28" s="1172"/>
      <c r="EJ28" s="1172"/>
      <c r="EK28" s="1172"/>
      <c r="EL28" s="1172"/>
      <c r="EM28" s="1172"/>
      <c r="EN28" s="1172"/>
      <c r="EO28" s="1172"/>
      <c r="EP28" s="1172"/>
      <c r="EQ28" s="1172"/>
      <c r="ER28" s="1172"/>
      <c r="ES28" s="1172"/>
      <c r="ET28" s="1172"/>
      <c r="EU28" s="1172"/>
      <c r="EV28" s="1172"/>
      <c r="EW28" s="1172"/>
      <c r="EX28" s="1172"/>
      <c r="EY28" s="1172"/>
      <c r="EZ28" s="1172"/>
      <c r="FA28" s="1172"/>
      <c r="FB28" s="1172"/>
      <c r="FC28" s="1172"/>
      <c r="FD28" s="1172"/>
      <c r="FE28" s="1172"/>
      <c r="FF28" s="1172"/>
      <c r="FG28" s="1172"/>
      <c r="FH28" s="1172"/>
      <c r="FI28" s="1172"/>
      <c r="FJ28" s="1172"/>
      <c r="FK28" s="1172"/>
      <c r="FL28" s="1172"/>
      <c r="FM28" s="1172"/>
      <c r="FN28" s="1172"/>
      <c r="FO28" s="1172"/>
      <c r="FP28" s="1172"/>
      <c r="FQ28" s="1172"/>
      <c r="FR28" s="1172"/>
      <c r="FS28" s="1172"/>
      <c r="FT28" s="1172"/>
      <c r="FU28" s="1172"/>
      <c r="FV28" s="1172"/>
      <c r="FW28" s="1172"/>
      <c r="FX28" s="1172"/>
      <c r="FY28" s="1172"/>
      <c r="FZ28" s="1172"/>
      <c r="GA28" s="1172"/>
      <c r="GB28" s="1172"/>
      <c r="GC28" s="1172"/>
      <c r="GD28" s="1172"/>
      <c r="GE28" s="1172"/>
      <c r="GF28" s="1172"/>
      <c r="GG28" s="1172"/>
      <c r="GH28" s="1172"/>
      <c r="GI28" s="1172"/>
      <c r="GJ28" s="1172"/>
      <c r="GK28" s="1172"/>
      <c r="GL28" s="1172"/>
      <c r="GM28" s="1172"/>
      <c r="GN28" s="1172"/>
      <c r="GO28" s="1172"/>
      <c r="GP28" s="1172"/>
      <c r="GQ28" s="1172"/>
      <c r="GR28" s="1172"/>
      <c r="GS28" s="1172"/>
      <c r="GT28" s="1172"/>
      <c r="GU28" s="1172"/>
      <c r="GV28" s="1172"/>
      <c r="GW28" s="1172"/>
      <c r="GX28" s="1172"/>
      <c r="GY28" s="1172"/>
      <c r="GZ28" s="1172"/>
      <c r="HA28" s="1172"/>
      <c r="HB28" s="1172"/>
      <c r="HC28" s="1172"/>
      <c r="HD28" s="1172"/>
      <c r="HE28" s="1172"/>
      <c r="HF28" s="1172"/>
      <c r="HG28" s="1172"/>
      <c r="HH28" s="1172"/>
      <c r="HI28" s="1172"/>
      <c r="HJ28" s="1172"/>
      <c r="HK28" s="1172"/>
      <c r="HL28" s="1172"/>
      <c r="HM28" s="1172"/>
      <c r="HN28" s="1172"/>
      <c r="HO28" s="1172"/>
      <c r="HP28" s="1172"/>
      <c r="HQ28" s="1172"/>
      <c r="HR28" s="1172"/>
      <c r="HS28" s="1172"/>
      <c r="HT28" s="1172"/>
      <c r="HU28" s="1172"/>
      <c r="HV28" s="1172"/>
      <c r="HW28" s="1172"/>
      <c r="HX28" s="1172"/>
      <c r="HY28" s="1172"/>
      <c r="HZ28" s="1172"/>
      <c r="IA28" s="1172"/>
      <c r="IB28" s="1172"/>
      <c r="IC28" s="1172"/>
      <c r="ID28" s="1172"/>
      <c r="IE28" s="1172"/>
      <c r="IF28" s="1172"/>
      <c r="IG28" s="1172"/>
      <c r="IH28" s="1172"/>
      <c r="II28" s="1172"/>
      <c r="IJ28" s="1172"/>
      <c r="IK28" s="1172"/>
      <c r="IL28" s="1172"/>
      <c r="IM28" s="1172"/>
      <c r="IN28" s="1172"/>
      <c r="IO28" s="1172"/>
      <c r="IP28" s="1172"/>
      <c r="IQ28" s="1172"/>
      <c r="IR28" s="1172"/>
      <c r="IS28" s="1172"/>
      <c r="IT28" s="1172"/>
      <c r="IU28" s="1172"/>
      <c r="IV28" s="1172"/>
    </row>
    <row r="29" ht="18" customHeight="1"/>
    <row r="30" ht="20.25" customHeight="1"/>
    <row r="31" ht="20.25" customHeight="1"/>
    <row r="32" ht="20.25" customHeight="1"/>
    <row r="33" ht="20.25" customHeight="1"/>
  </sheetData>
  <sheetProtection selectLockedCells="1" selectUnlockedCells="1"/>
  <mergeCells count="9">
    <mergeCell ref="A19:H19"/>
    <mergeCell ref="I19:P19"/>
    <mergeCell ref="A1:D1"/>
    <mergeCell ref="I1:P1"/>
    <mergeCell ref="A2:P2"/>
    <mergeCell ref="A4:P4"/>
    <mergeCell ref="G6:H6"/>
    <mergeCell ref="N6:P6"/>
    <mergeCell ref="C3:N3"/>
  </mergeCells>
  <printOptions/>
  <pageMargins left="0.25" right="0.25" top="0.75" bottom="0.75" header="0.3" footer="0.3"/>
  <pageSetup fitToHeight="1" fitToWidth="1" horizontalDpi="600" verticalDpi="600" orientation="landscape" paperSize="9" scale="59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40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" sqref="E3:I3"/>
    </sheetView>
  </sheetViews>
  <sheetFormatPr defaultColWidth="11.7109375" defaultRowHeight="12.75" customHeight="1"/>
  <cols>
    <col min="1" max="1" width="21.7109375" style="56" customWidth="1"/>
    <col min="2" max="2" width="11.7109375" style="56" customWidth="1"/>
    <col min="3" max="3" width="11.28125" style="56" customWidth="1"/>
    <col min="4" max="5" width="11.28125" style="56" bestFit="1" customWidth="1"/>
    <col min="6" max="6" width="11.28125" style="110" bestFit="1" customWidth="1"/>
    <col min="7" max="9" width="12.140625" style="56" bestFit="1" customWidth="1"/>
    <col min="10" max="11" width="11.28125" style="56" bestFit="1" customWidth="1"/>
    <col min="12" max="12" width="12.140625" style="56" bestFit="1" customWidth="1"/>
    <col min="13" max="13" width="11.28125" style="56" bestFit="1" customWidth="1"/>
    <col min="14" max="14" width="14.140625" style="56" customWidth="1"/>
    <col min="15" max="25" width="10.7109375" style="56" customWidth="1"/>
    <col min="26" max="16384" width="11.7109375" style="56" customWidth="1"/>
  </cols>
  <sheetData>
    <row r="1" spans="9:14" s="111" customFormat="1" ht="18" customHeight="1">
      <c r="I1" s="1741" t="s">
        <v>1142</v>
      </c>
      <c r="J1" s="1741"/>
      <c r="K1" s="1741"/>
      <c r="L1" s="1741"/>
      <c r="M1" s="1741"/>
      <c r="N1" s="1741"/>
    </row>
    <row r="2" spans="1:14" ht="12.75" customHeight="1">
      <c r="A2" s="1742" t="s">
        <v>1133</v>
      </c>
      <c r="B2" s="1742"/>
      <c r="C2" s="1742"/>
      <c r="D2" s="1742"/>
      <c r="E2" s="1742"/>
      <c r="F2" s="1742"/>
      <c r="G2" s="1742"/>
      <c r="H2" s="1742"/>
      <c r="I2" s="1742"/>
      <c r="J2" s="1742"/>
      <c r="K2" s="1742"/>
      <c r="L2" s="1742"/>
      <c r="M2" s="1742"/>
      <c r="N2" s="1742"/>
    </row>
    <row r="3" spans="1:9" ht="12.75">
      <c r="A3" s="248"/>
      <c r="B3" s="249"/>
      <c r="C3" s="249"/>
      <c r="D3" s="249"/>
      <c r="E3" s="1745" t="s">
        <v>1141</v>
      </c>
      <c r="F3" s="1745"/>
      <c r="G3" s="1745"/>
      <c r="H3" s="1745"/>
      <c r="I3" s="1745"/>
    </row>
    <row r="4" spans="1:256" ht="12.75" customHeight="1">
      <c r="A4" s="1743" t="s">
        <v>506</v>
      </c>
      <c r="B4" s="1743"/>
      <c r="C4" s="1743"/>
      <c r="D4" s="1743"/>
      <c r="E4" s="1743"/>
      <c r="F4" s="1743"/>
      <c r="G4" s="1743"/>
      <c r="H4" s="1743"/>
      <c r="I4" s="1743"/>
      <c r="J4" s="1743"/>
      <c r="K4" s="1743"/>
      <c r="L4" s="1743"/>
      <c r="M4" s="1743"/>
      <c r="N4" s="174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743"/>
      <c r="B5" s="1743"/>
      <c r="C5" s="1743"/>
      <c r="D5" s="1743"/>
      <c r="E5" s="1743"/>
      <c r="F5" s="1743"/>
      <c r="G5" s="1743"/>
      <c r="H5" s="1743"/>
      <c r="I5" s="1743"/>
      <c r="J5" s="1743"/>
      <c r="K5" s="1743"/>
      <c r="L5" s="1743"/>
      <c r="M5" s="1743"/>
      <c r="N5" s="174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/>
      <c r="M6" s="1744" t="s">
        <v>155</v>
      </c>
      <c r="N6" s="174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647" t="s">
        <v>24</v>
      </c>
      <c r="B7" s="648" t="s">
        <v>507</v>
      </c>
      <c r="C7" s="648" t="s">
        <v>508</v>
      </c>
      <c r="D7" s="648" t="s">
        <v>509</v>
      </c>
      <c r="E7" s="648" t="s">
        <v>510</v>
      </c>
      <c r="F7" s="648" t="s">
        <v>511</v>
      </c>
      <c r="G7" s="648" t="s">
        <v>512</v>
      </c>
      <c r="H7" s="648" t="s">
        <v>513</v>
      </c>
      <c r="I7" s="648" t="s">
        <v>514</v>
      </c>
      <c r="J7" s="648" t="s">
        <v>515</v>
      </c>
      <c r="K7" s="648" t="s">
        <v>516</v>
      </c>
      <c r="L7" s="648" t="s">
        <v>517</v>
      </c>
      <c r="M7" s="648" t="s">
        <v>518</v>
      </c>
      <c r="N7" s="649" t="s">
        <v>519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650" t="s">
        <v>157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651">
        <f aca="true" t="shared" si="0" ref="N8:N19">SUM(B8:M8)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8.5" customHeight="1">
      <c r="A9" s="652" t="s">
        <v>165</v>
      </c>
      <c r="B9" s="257">
        <v>17331389</v>
      </c>
      <c r="C9" s="257">
        <v>17331389</v>
      </c>
      <c r="D9" s="257">
        <v>17331389</v>
      </c>
      <c r="E9" s="257">
        <v>17331389</v>
      </c>
      <c r="F9" s="257">
        <v>17331389</v>
      </c>
      <c r="G9" s="257">
        <v>17331389</v>
      </c>
      <c r="H9" s="257">
        <v>17331389</v>
      </c>
      <c r="I9" s="257">
        <v>17331389</v>
      </c>
      <c r="J9" s="257">
        <v>17331389</v>
      </c>
      <c r="K9" s="257">
        <f>J9</f>
        <v>17331389</v>
      </c>
      <c r="L9" s="257">
        <f>K9</f>
        <v>17331389</v>
      </c>
      <c r="M9" s="257">
        <v>17331390</v>
      </c>
      <c r="N9" s="651">
        <f t="shared" si="0"/>
        <v>207976669</v>
      </c>
      <c r="O9"/>
      <c r="P9" s="13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8.25" customHeight="1">
      <c r="A10" s="652" t="s">
        <v>703</v>
      </c>
      <c r="B10" s="257">
        <v>10296460</v>
      </c>
      <c r="C10" s="257">
        <v>10296460</v>
      </c>
      <c r="D10" s="257">
        <v>10296460</v>
      </c>
      <c r="E10" s="257">
        <v>10296460</v>
      </c>
      <c r="F10" s="257">
        <v>10296460</v>
      </c>
      <c r="G10" s="257">
        <v>10296460</v>
      </c>
      <c r="H10" s="257">
        <v>10296460</v>
      </c>
      <c r="I10" s="257">
        <v>10296460</v>
      </c>
      <c r="J10" s="257">
        <v>10296460</v>
      </c>
      <c r="K10" s="257">
        <v>10296460</v>
      </c>
      <c r="L10" s="257">
        <v>10296460</v>
      </c>
      <c r="M10" s="257">
        <v>10296454</v>
      </c>
      <c r="N10" s="651">
        <f t="shared" si="0"/>
        <v>123557514</v>
      </c>
      <c r="O10"/>
      <c r="P10" s="13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652" t="s">
        <v>170</v>
      </c>
      <c r="B11" s="257"/>
      <c r="C11" s="257"/>
      <c r="D11" s="257"/>
      <c r="E11" s="257"/>
      <c r="F11" s="257"/>
      <c r="G11" s="257"/>
      <c r="H11" s="257"/>
      <c r="I11" s="257">
        <v>333740979</v>
      </c>
      <c r="J11" s="257"/>
      <c r="K11" s="257"/>
      <c r="L11" s="257">
        <v>245447045</v>
      </c>
      <c r="M11" s="257"/>
      <c r="N11" s="651">
        <f t="shared" si="0"/>
        <v>579188024</v>
      </c>
      <c r="O11" s="258"/>
      <c r="P11" s="259"/>
      <c r="Q11" s="26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652" t="s">
        <v>177</v>
      </c>
      <c r="B12" s="257">
        <v>14278801</v>
      </c>
      <c r="C12" s="257">
        <f>B12</f>
        <v>14278801</v>
      </c>
      <c r="D12" s="257">
        <f aca="true" t="shared" si="1" ref="D12:L12">C12</f>
        <v>14278801</v>
      </c>
      <c r="E12" s="257">
        <f t="shared" si="1"/>
        <v>14278801</v>
      </c>
      <c r="F12" s="257">
        <f t="shared" si="1"/>
        <v>14278801</v>
      </c>
      <c r="G12" s="257">
        <f t="shared" si="1"/>
        <v>14278801</v>
      </c>
      <c r="H12" s="257">
        <f t="shared" si="1"/>
        <v>14278801</v>
      </c>
      <c r="I12" s="257">
        <f t="shared" si="1"/>
        <v>14278801</v>
      </c>
      <c r="J12" s="257">
        <f t="shared" si="1"/>
        <v>14278801</v>
      </c>
      <c r="K12" s="257">
        <f t="shared" si="1"/>
        <v>14278801</v>
      </c>
      <c r="L12" s="257">
        <f t="shared" si="1"/>
        <v>14278801</v>
      </c>
      <c r="M12" s="257">
        <v>14278803</v>
      </c>
      <c r="N12" s="651">
        <f t="shared" si="0"/>
        <v>171345614</v>
      </c>
      <c r="O12" s="261"/>
      <c r="P12" s="25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652" t="s">
        <v>78</v>
      </c>
      <c r="B13" s="257">
        <v>3625613</v>
      </c>
      <c r="C13" s="257">
        <f>B13</f>
        <v>3625613</v>
      </c>
      <c r="D13" s="257">
        <f aca="true" t="shared" si="2" ref="D13:L13">C13</f>
        <v>3625613</v>
      </c>
      <c r="E13" s="257">
        <f t="shared" si="2"/>
        <v>3625613</v>
      </c>
      <c r="F13" s="257">
        <f t="shared" si="2"/>
        <v>3625613</v>
      </c>
      <c r="G13" s="257">
        <f t="shared" si="2"/>
        <v>3625613</v>
      </c>
      <c r="H13" s="257">
        <f t="shared" si="2"/>
        <v>3625613</v>
      </c>
      <c r="I13" s="257">
        <f t="shared" si="2"/>
        <v>3625613</v>
      </c>
      <c r="J13" s="257">
        <f t="shared" si="2"/>
        <v>3625613</v>
      </c>
      <c r="K13" s="257">
        <f t="shared" si="2"/>
        <v>3625613</v>
      </c>
      <c r="L13" s="257">
        <f t="shared" si="2"/>
        <v>3625613</v>
      </c>
      <c r="M13" s="257">
        <v>3625609</v>
      </c>
      <c r="N13" s="651">
        <f t="shared" si="0"/>
        <v>43507352</v>
      </c>
      <c r="O13" s="261"/>
      <c r="P13" s="25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652" t="s">
        <v>13</v>
      </c>
      <c r="B14" s="257">
        <v>761364</v>
      </c>
      <c r="C14" s="257">
        <v>761364</v>
      </c>
      <c r="D14" s="257">
        <v>761364</v>
      </c>
      <c r="E14" s="257">
        <f aca="true" t="shared" si="3" ref="E14:K14">D14</f>
        <v>761364</v>
      </c>
      <c r="F14" s="257">
        <f t="shared" si="3"/>
        <v>761364</v>
      </c>
      <c r="G14" s="257">
        <f t="shared" si="3"/>
        <v>761364</v>
      </c>
      <c r="H14" s="257">
        <f t="shared" si="3"/>
        <v>761364</v>
      </c>
      <c r="I14" s="257">
        <f t="shared" si="3"/>
        <v>761364</v>
      </c>
      <c r="J14" s="257">
        <f t="shared" si="3"/>
        <v>761364</v>
      </c>
      <c r="K14" s="257">
        <f t="shared" si="3"/>
        <v>761364</v>
      </c>
      <c r="L14" s="257">
        <v>761364</v>
      </c>
      <c r="M14" s="257">
        <v>761366</v>
      </c>
      <c r="N14" s="651">
        <f t="shared" si="0"/>
        <v>9136370</v>
      </c>
      <c r="O14" s="262"/>
      <c r="P14" s="25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>
      <c r="A15" s="652" t="s">
        <v>189</v>
      </c>
      <c r="B15" s="257"/>
      <c r="C15" s="257"/>
      <c r="D15" s="257">
        <v>215000</v>
      </c>
      <c r="E15" s="257"/>
      <c r="F15" s="257"/>
      <c r="G15" s="257">
        <v>485800</v>
      </c>
      <c r="H15" s="257"/>
      <c r="I15" s="257"/>
      <c r="J15" s="257">
        <v>362338</v>
      </c>
      <c r="K15" s="257"/>
      <c r="L15" s="257">
        <v>443870</v>
      </c>
      <c r="M15" s="257"/>
      <c r="N15" s="651">
        <f t="shared" si="0"/>
        <v>1507008</v>
      </c>
      <c r="O15" s="262"/>
      <c r="P15" s="25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>
      <c r="A16" s="652" t="s">
        <v>230</v>
      </c>
      <c r="B16" s="257"/>
      <c r="C16" s="257"/>
      <c r="D16" s="257">
        <v>800000</v>
      </c>
      <c r="E16" s="257"/>
      <c r="F16" s="257"/>
      <c r="G16" s="257"/>
      <c r="H16" s="257"/>
      <c r="I16" s="257"/>
      <c r="J16" s="257"/>
      <c r="K16" s="257"/>
      <c r="L16" s="257"/>
      <c r="M16" s="257"/>
      <c r="N16" s="651">
        <f t="shared" si="0"/>
        <v>800000</v>
      </c>
      <c r="O16" s="262"/>
      <c r="P16" s="25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 s="652" t="s">
        <v>704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651">
        <f t="shared" si="0"/>
        <v>0</v>
      </c>
      <c r="O17" s="258"/>
      <c r="P17" s="25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652" t="s">
        <v>225</v>
      </c>
      <c r="B18" s="257">
        <v>4344476</v>
      </c>
      <c r="C18" s="257">
        <v>4344476</v>
      </c>
      <c r="D18" s="257">
        <v>4344476</v>
      </c>
      <c r="E18" s="257">
        <v>4344476</v>
      </c>
      <c r="F18" s="257">
        <v>4344476</v>
      </c>
      <c r="G18" s="257">
        <v>4344476</v>
      </c>
      <c r="H18" s="257">
        <v>4344476</v>
      </c>
      <c r="I18" s="257">
        <v>4344476</v>
      </c>
      <c r="J18" s="257">
        <v>4344476</v>
      </c>
      <c r="K18" s="257">
        <v>4344476</v>
      </c>
      <c r="L18" s="257">
        <v>4344476</v>
      </c>
      <c r="M18" s="257">
        <v>4344476</v>
      </c>
      <c r="N18" s="651">
        <f t="shared" si="0"/>
        <v>52133712</v>
      </c>
      <c r="O18" s="258"/>
      <c r="P18" s="25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652" t="s">
        <v>228</v>
      </c>
      <c r="B19" s="257">
        <v>708556</v>
      </c>
      <c r="C19" s="257">
        <v>708556</v>
      </c>
      <c r="D19" s="257">
        <v>708556</v>
      </c>
      <c r="E19" s="257">
        <v>708556</v>
      </c>
      <c r="F19" s="257">
        <v>708556</v>
      </c>
      <c r="G19" s="257">
        <v>708556</v>
      </c>
      <c r="H19" s="257">
        <v>870391</v>
      </c>
      <c r="I19" s="257">
        <v>870391</v>
      </c>
      <c r="J19" s="257">
        <v>870391</v>
      </c>
      <c r="K19" s="257">
        <v>870391</v>
      </c>
      <c r="L19" s="257">
        <v>870391</v>
      </c>
      <c r="M19" s="257">
        <v>2020341</v>
      </c>
      <c r="N19" s="651">
        <f t="shared" si="0"/>
        <v>10623632</v>
      </c>
      <c r="O19" s="258"/>
      <c r="P19" s="25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 s="653" t="s">
        <v>520</v>
      </c>
      <c r="B20" s="15">
        <f>SUM(B8:B19)</f>
        <v>51346659</v>
      </c>
      <c r="C20" s="15">
        <f aca="true" t="shared" si="4" ref="C20:N20">SUM(C8:C19)</f>
        <v>51346659</v>
      </c>
      <c r="D20" s="15">
        <f t="shared" si="4"/>
        <v>52361659</v>
      </c>
      <c r="E20" s="15">
        <f t="shared" si="4"/>
        <v>51346659</v>
      </c>
      <c r="F20" s="15">
        <f t="shared" si="4"/>
        <v>51346659</v>
      </c>
      <c r="G20" s="15">
        <f t="shared" si="4"/>
        <v>51832459</v>
      </c>
      <c r="H20" s="15">
        <f t="shared" si="4"/>
        <v>51508494</v>
      </c>
      <c r="I20" s="15">
        <f t="shared" si="4"/>
        <v>385249473</v>
      </c>
      <c r="J20" s="15">
        <f t="shared" si="4"/>
        <v>51870832</v>
      </c>
      <c r="K20" s="15">
        <f t="shared" si="4"/>
        <v>51508494</v>
      </c>
      <c r="L20" s="15">
        <f t="shared" si="4"/>
        <v>297399409</v>
      </c>
      <c r="M20" s="15">
        <f t="shared" si="4"/>
        <v>52658439</v>
      </c>
      <c r="N20" s="15">
        <f t="shared" si="4"/>
        <v>1199775895</v>
      </c>
      <c r="O20" s="263"/>
      <c r="P20" s="259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650" t="s">
        <v>119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655"/>
      <c r="O21" s="262"/>
      <c r="P21" s="25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customHeight="1">
      <c r="A22" s="652" t="s">
        <v>705</v>
      </c>
      <c r="B22" s="257">
        <v>17412180</v>
      </c>
      <c r="C22" s="257">
        <v>17412180</v>
      </c>
      <c r="D22" s="257">
        <v>17412180</v>
      </c>
      <c r="E22" s="257">
        <v>17412180</v>
      </c>
      <c r="F22" s="257">
        <v>17412180</v>
      </c>
      <c r="G22" s="257">
        <v>17412180</v>
      </c>
      <c r="H22" s="257">
        <v>17412180</v>
      </c>
      <c r="I22" s="257">
        <v>17412180</v>
      </c>
      <c r="J22" s="257">
        <v>17412180</v>
      </c>
      <c r="K22" s="257">
        <v>17412180</v>
      </c>
      <c r="L22" s="257">
        <v>17412180</v>
      </c>
      <c r="M22" s="257">
        <v>17412180</v>
      </c>
      <c r="N22" s="655">
        <f aca="true" t="shared" si="5" ref="N22:N33">SUM(B22:M22)</f>
        <v>208946160</v>
      </c>
      <c r="O22" s="261"/>
      <c r="P22" s="25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>
      <c r="A23" s="652" t="s">
        <v>123</v>
      </c>
      <c r="B23" s="257">
        <v>3872352</v>
      </c>
      <c r="C23" s="257">
        <v>3872352</v>
      </c>
      <c r="D23" s="257">
        <v>3872352</v>
      </c>
      <c r="E23" s="257">
        <v>3872352</v>
      </c>
      <c r="F23" s="257">
        <v>3872352</v>
      </c>
      <c r="G23" s="257">
        <v>3872352</v>
      </c>
      <c r="H23" s="257">
        <v>3872352</v>
      </c>
      <c r="I23" s="257">
        <v>3872352</v>
      </c>
      <c r="J23" s="257">
        <v>3872352</v>
      </c>
      <c r="K23" s="257">
        <v>3872352</v>
      </c>
      <c r="L23" s="257">
        <v>3872352</v>
      </c>
      <c r="M23" s="257">
        <v>3872357</v>
      </c>
      <c r="N23" s="655">
        <f t="shared" si="5"/>
        <v>46468229</v>
      </c>
      <c r="O23" s="262"/>
      <c r="P23" s="25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A24" s="652" t="s">
        <v>125</v>
      </c>
      <c r="B24" s="257">
        <v>11597509</v>
      </c>
      <c r="C24" s="257">
        <v>11597509</v>
      </c>
      <c r="D24" s="257">
        <v>11597509</v>
      </c>
      <c r="E24" s="257">
        <v>11597509</v>
      </c>
      <c r="F24" s="257">
        <v>11597509</v>
      </c>
      <c r="G24" s="257">
        <v>11597509</v>
      </c>
      <c r="H24" s="257">
        <v>11597509</v>
      </c>
      <c r="I24" s="257">
        <f>H24</f>
        <v>11597509</v>
      </c>
      <c r="J24" s="257">
        <v>11597509</v>
      </c>
      <c r="K24" s="257">
        <v>11597509</v>
      </c>
      <c r="L24" s="257">
        <f>K24</f>
        <v>11597509</v>
      </c>
      <c r="M24" s="257">
        <v>11597508</v>
      </c>
      <c r="N24" s="655">
        <f t="shared" si="5"/>
        <v>139170107</v>
      </c>
      <c r="O24"/>
      <c r="P24" s="13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652" t="s">
        <v>498</v>
      </c>
      <c r="B25" s="257">
        <v>388292</v>
      </c>
      <c r="C25" s="257">
        <f>B25</f>
        <v>388292</v>
      </c>
      <c r="D25" s="257">
        <f aca="true" t="shared" si="6" ref="D25:L25">C25</f>
        <v>388292</v>
      </c>
      <c r="E25" s="257">
        <f t="shared" si="6"/>
        <v>388292</v>
      </c>
      <c r="F25" s="257">
        <f t="shared" si="6"/>
        <v>388292</v>
      </c>
      <c r="G25" s="257">
        <f t="shared" si="6"/>
        <v>388292</v>
      </c>
      <c r="H25" s="257">
        <f t="shared" si="6"/>
        <v>388292</v>
      </c>
      <c r="I25" s="257">
        <f t="shared" si="6"/>
        <v>388292</v>
      </c>
      <c r="J25" s="257">
        <f t="shared" si="6"/>
        <v>388292</v>
      </c>
      <c r="K25" s="257">
        <f t="shared" si="6"/>
        <v>388292</v>
      </c>
      <c r="L25" s="257">
        <f t="shared" si="6"/>
        <v>388292</v>
      </c>
      <c r="M25" s="257">
        <v>388288</v>
      </c>
      <c r="N25" s="655">
        <f t="shared" si="5"/>
        <v>4659500</v>
      </c>
      <c r="O25"/>
      <c r="P25" s="13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.75" customHeight="1">
      <c r="A26" s="652" t="s">
        <v>521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>
        <v>53488</v>
      </c>
      <c r="L26" s="257"/>
      <c r="M26" s="257"/>
      <c r="N26" s="655">
        <v>53488</v>
      </c>
      <c r="O26"/>
      <c r="P26" s="13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652" t="s">
        <v>150</v>
      </c>
      <c r="B27" s="257">
        <v>10974883</v>
      </c>
      <c r="C27" s="257">
        <v>10974883</v>
      </c>
      <c r="D27" s="257">
        <v>11989883</v>
      </c>
      <c r="E27" s="257">
        <v>10974883</v>
      </c>
      <c r="F27" s="257">
        <v>10974883</v>
      </c>
      <c r="G27" s="257">
        <v>11460683</v>
      </c>
      <c r="H27" s="257">
        <v>11136718</v>
      </c>
      <c r="I27" s="257">
        <v>344877697</v>
      </c>
      <c r="J27" s="257">
        <v>11499056</v>
      </c>
      <c r="K27" s="257">
        <v>11083230</v>
      </c>
      <c r="L27" s="257">
        <v>257027633</v>
      </c>
      <c r="M27" s="257">
        <v>12286655</v>
      </c>
      <c r="N27" s="655">
        <f t="shared" si="5"/>
        <v>715261087</v>
      </c>
      <c r="O27"/>
      <c r="P27" s="13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652" t="s">
        <v>206</v>
      </c>
      <c r="B28" s="257">
        <v>2831942</v>
      </c>
      <c r="C28" s="257">
        <v>2831942</v>
      </c>
      <c r="D28" s="257">
        <v>2831942</v>
      </c>
      <c r="E28" s="257">
        <v>2831942</v>
      </c>
      <c r="F28" s="257">
        <v>2831942</v>
      </c>
      <c r="G28" s="257">
        <v>2831942</v>
      </c>
      <c r="H28" s="257">
        <v>2831942</v>
      </c>
      <c r="I28" s="257">
        <v>2831942</v>
      </c>
      <c r="J28" s="257">
        <v>2831942</v>
      </c>
      <c r="K28" s="257">
        <v>2831942</v>
      </c>
      <c r="L28" s="257">
        <v>2831942</v>
      </c>
      <c r="M28" s="257">
        <v>2831946</v>
      </c>
      <c r="N28" s="655">
        <f t="shared" si="5"/>
        <v>33983308</v>
      </c>
      <c r="O28"/>
      <c r="P28" s="13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8.25" customHeight="1">
      <c r="A29" s="652" t="s">
        <v>134</v>
      </c>
      <c r="B29" s="257">
        <v>1468193</v>
      </c>
      <c r="C29" s="257">
        <v>1468193</v>
      </c>
      <c r="D29" s="257">
        <v>1468193</v>
      </c>
      <c r="E29" s="257">
        <v>1468193</v>
      </c>
      <c r="F29" s="257">
        <v>1468193</v>
      </c>
      <c r="G29" s="257">
        <v>1468193</v>
      </c>
      <c r="H29" s="257">
        <v>1468193</v>
      </c>
      <c r="I29" s="257">
        <v>1468193</v>
      </c>
      <c r="J29" s="257">
        <v>1468193</v>
      </c>
      <c r="K29" s="257">
        <v>1468193</v>
      </c>
      <c r="L29" s="257">
        <v>1468193</v>
      </c>
      <c r="M29" s="257">
        <v>1468189</v>
      </c>
      <c r="N29" s="655">
        <f t="shared" si="5"/>
        <v>17618312</v>
      </c>
      <c r="O29"/>
      <c r="P29" s="13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652" t="s">
        <v>132</v>
      </c>
      <c r="B30" s="257">
        <v>1941194</v>
      </c>
      <c r="C30" s="257">
        <v>1941194</v>
      </c>
      <c r="D30" s="257">
        <v>1941194</v>
      </c>
      <c r="E30" s="257">
        <v>1941194</v>
      </c>
      <c r="F30" s="257">
        <v>1941194</v>
      </c>
      <c r="G30" s="257">
        <v>1941194</v>
      </c>
      <c r="H30" s="257">
        <v>1941194</v>
      </c>
      <c r="I30" s="257">
        <v>1941194</v>
      </c>
      <c r="J30" s="257">
        <v>1941194</v>
      </c>
      <c r="K30" s="257">
        <v>1941194</v>
      </c>
      <c r="L30" s="257">
        <v>1941194</v>
      </c>
      <c r="M30" s="257">
        <v>1941197</v>
      </c>
      <c r="N30" s="655">
        <f t="shared" si="5"/>
        <v>23294331</v>
      </c>
      <c r="O30"/>
      <c r="P30" s="13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652" t="s">
        <v>207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655">
        <f t="shared" si="5"/>
        <v>0</v>
      </c>
      <c r="O31"/>
      <c r="P31" s="13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652" t="s">
        <v>706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655">
        <f t="shared" si="5"/>
        <v>0</v>
      </c>
      <c r="O32"/>
      <c r="P32" s="13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 customHeight="1">
      <c r="A33" s="652" t="s">
        <v>707</v>
      </c>
      <c r="B33" s="257">
        <v>860114</v>
      </c>
      <c r="C33" s="257">
        <v>860114</v>
      </c>
      <c r="D33" s="257">
        <v>860114</v>
      </c>
      <c r="E33" s="257">
        <v>860114</v>
      </c>
      <c r="F33" s="257">
        <v>860114</v>
      </c>
      <c r="G33" s="257">
        <v>860114</v>
      </c>
      <c r="H33" s="257">
        <v>860114</v>
      </c>
      <c r="I33" s="257">
        <v>860114</v>
      </c>
      <c r="J33" s="257">
        <v>860114</v>
      </c>
      <c r="K33" s="257">
        <v>860114</v>
      </c>
      <c r="L33" s="257">
        <v>860114</v>
      </c>
      <c r="M33" s="257">
        <v>860119</v>
      </c>
      <c r="N33" s="655">
        <f t="shared" si="5"/>
        <v>10321373</v>
      </c>
      <c r="O33"/>
      <c r="P33" s="13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653" t="s">
        <v>522</v>
      </c>
      <c r="B34" s="15">
        <f>SUM(B22:B33)</f>
        <v>51346659</v>
      </c>
      <c r="C34" s="15">
        <f aca="true" t="shared" si="7" ref="C34:N34">SUM(C22:C33)</f>
        <v>51346659</v>
      </c>
      <c r="D34" s="15">
        <f t="shared" si="7"/>
        <v>52361659</v>
      </c>
      <c r="E34" s="15">
        <f t="shared" si="7"/>
        <v>51346659</v>
      </c>
      <c r="F34" s="15">
        <f t="shared" si="7"/>
        <v>51346659</v>
      </c>
      <c r="G34" s="15">
        <f t="shared" si="7"/>
        <v>51832459</v>
      </c>
      <c r="H34" s="15">
        <f t="shared" si="7"/>
        <v>51508494</v>
      </c>
      <c r="I34" s="15">
        <f t="shared" si="7"/>
        <v>385249473</v>
      </c>
      <c r="J34" s="15">
        <f t="shared" si="7"/>
        <v>51870832</v>
      </c>
      <c r="K34" s="15">
        <f t="shared" si="7"/>
        <v>51508494</v>
      </c>
      <c r="L34" s="15">
        <f t="shared" si="7"/>
        <v>297399409</v>
      </c>
      <c r="M34" s="15">
        <f t="shared" si="7"/>
        <v>52658439</v>
      </c>
      <c r="N34" s="654">
        <f t="shared" si="7"/>
        <v>1199775895</v>
      </c>
      <c r="O34" s="12"/>
      <c r="P34" s="13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customHeight="1">
      <c r="A35" s="652" t="s">
        <v>523</v>
      </c>
      <c r="B35" s="147">
        <f>SUM(B20-B34)</f>
        <v>0</v>
      </c>
      <c r="C35" s="147">
        <f aca="true" t="shared" si="8" ref="C35:N35">SUM(C20-C34)</f>
        <v>0</v>
      </c>
      <c r="D35" s="147">
        <f t="shared" si="8"/>
        <v>0</v>
      </c>
      <c r="E35" s="147">
        <f t="shared" si="8"/>
        <v>0</v>
      </c>
      <c r="F35" s="147">
        <f t="shared" si="8"/>
        <v>0</v>
      </c>
      <c r="G35" s="147">
        <f t="shared" si="8"/>
        <v>0</v>
      </c>
      <c r="H35" s="147">
        <f t="shared" si="8"/>
        <v>0</v>
      </c>
      <c r="I35" s="147">
        <f t="shared" si="8"/>
        <v>0</v>
      </c>
      <c r="J35" s="147">
        <f t="shared" si="8"/>
        <v>0</v>
      </c>
      <c r="K35" s="147">
        <f t="shared" si="8"/>
        <v>0</v>
      </c>
      <c r="L35" s="147">
        <f t="shared" si="8"/>
        <v>0</v>
      </c>
      <c r="M35" s="147">
        <f t="shared" si="8"/>
        <v>0</v>
      </c>
      <c r="N35" s="656">
        <f t="shared" si="8"/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657" t="s">
        <v>524</v>
      </c>
      <c r="B36" s="658"/>
      <c r="C36" s="658"/>
      <c r="D36" s="658"/>
      <c r="E36" s="658"/>
      <c r="F36" s="658"/>
      <c r="G36" s="658"/>
      <c r="H36" s="658"/>
      <c r="I36" s="658"/>
      <c r="J36" s="658"/>
      <c r="K36" s="658"/>
      <c r="L36" s="658"/>
      <c r="M36" s="658"/>
      <c r="N36" s="659">
        <f>SUM(N34:N35)</f>
        <v>1199775895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/>
      <c r="B37"/>
      <c r="C37"/>
      <c r="D37" s="135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40" ht="12.75" customHeight="1">
      <c r="N40" s="56">
        <f>N20-N36</f>
        <v>0</v>
      </c>
    </row>
  </sheetData>
  <sheetProtection selectLockedCells="1" selectUnlockedCells="1"/>
  <mergeCells count="5">
    <mergeCell ref="I1:N1"/>
    <mergeCell ref="A2:N2"/>
    <mergeCell ref="A4:N5"/>
    <mergeCell ref="M6:N6"/>
    <mergeCell ref="E3:I3"/>
  </mergeCells>
  <printOptions horizontalCentered="1"/>
  <pageMargins left="0.35433070866141736" right="0.2362204724409449" top="0.5118110236220472" bottom="0.15748031496062992" header="0.5118110236220472" footer="0.5118110236220472"/>
  <pageSetup firstPageNumber="1" useFirstPageNumber="1" fitToHeight="1" fitToWidth="1" horizontalDpi="600" verticalDpi="600" orientation="landscape" paperSize="9" scale="66" r:id="rId1"/>
  <rowBreaks count="2" manualBreakCount="2">
    <brk id="20" max="13" man="1"/>
    <brk id="23" max="13" man="1"/>
  </rowBreaks>
  <colBreaks count="1" manualBreakCount="1">
    <brk id="7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K72"/>
  <sheetViews>
    <sheetView view="pageBreakPreview" zoomScale="110" zoomScaleSheetLayoutView="110" zoomScalePageLayoutView="0" workbookViewId="0" topLeftCell="A1">
      <selection activeCell="F1" sqref="F1:G1"/>
    </sheetView>
  </sheetViews>
  <sheetFormatPr defaultColWidth="9.140625" defaultRowHeight="12.75"/>
  <cols>
    <col min="1" max="1" width="5.00390625" style="1626" customWidth="1"/>
    <col min="2" max="2" width="15.57421875" style="0" customWidth="1"/>
    <col min="3" max="3" width="76.140625" style="0" customWidth="1"/>
    <col min="4" max="4" width="10.00390625" style="0" customWidth="1"/>
    <col min="5" max="5" width="6.57421875" style="0" customWidth="1"/>
    <col min="6" max="6" width="11.00390625" style="0" customWidth="1"/>
    <col min="7" max="7" width="20.7109375" style="57" customWidth="1"/>
    <col min="9" max="9" width="15.28125" style="57" customWidth="1"/>
    <col min="11" max="11" width="16.28125" style="0" customWidth="1"/>
  </cols>
  <sheetData>
    <row r="1" spans="1:9" s="12" customFormat="1" ht="15">
      <c r="A1" s="1611"/>
      <c r="F1" s="1746" t="s">
        <v>1143</v>
      </c>
      <c r="G1" s="1746"/>
      <c r="I1" s="57"/>
    </row>
    <row r="2" spans="1:7" ht="12.75">
      <c r="A2" s="1747" t="s">
        <v>1133</v>
      </c>
      <c r="B2" s="1747"/>
      <c r="C2" s="1747"/>
      <c r="D2" s="1747"/>
      <c r="E2" s="1747"/>
      <c r="F2" s="1747"/>
      <c r="G2" s="1747"/>
    </row>
    <row r="3" spans="2:6" ht="12.75">
      <c r="B3" s="1752" t="s">
        <v>1144</v>
      </c>
      <c r="C3" s="1752"/>
      <c r="D3" s="1752"/>
      <c r="E3" s="1752"/>
      <c r="F3" s="1752"/>
    </row>
    <row r="4" spans="1:9" s="12" customFormat="1" ht="15.75" customHeight="1">
      <c r="A4" s="1748" t="s">
        <v>975</v>
      </c>
      <c r="B4" s="1748"/>
      <c r="C4" s="1748"/>
      <c r="D4" s="1748"/>
      <c r="E4" s="1748"/>
      <c r="F4" s="1748"/>
      <c r="G4" s="1748"/>
      <c r="I4" s="57"/>
    </row>
    <row r="7" spans="1:9" s="12" customFormat="1" ht="16.5" thickBot="1">
      <c r="A7" s="1611"/>
      <c r="C7" s="12" t="s">
        <v>976</v>
      </c>
      <c r="G7" s="1612">
        <f>SUM(G35+G56+G67+G72)</f>
        <v>189524849</v>
      </c>
      <c r="I7" s="57"/>
    </row>
    <row r="9" spans="1:9" s="1611" customFormat="1" ht="25.5">
      <c r="A9" s="1613" t="s">
        <v>33</v>
      </c>
      <c r="B9" s="264" t="s">
        <v>977</v>
      </c>
      <c r="C9" s="264" t="s">
        <v>978</v>
      </c>
      <c r="D9" s="1613" t="s">
        <v>979</v>
      </c>
      <c r="E9" s="264" t="s">
        <v>980</v>
      </c>
      <c r="F9" s="1613" t="s">
        <v>981</v>
      </c>
      <c r="G9" s="237" t="s">
        <v>982</v>
      </c>
      <c r="I9" s="265"/>
    </row>
    <row r="10" spans="1:7" ht="12.75">
      <c r="A10" s="1614" t="s">
        <v>983</v>
      </c>
      <c r="B10" s="236" t="s">
        <v>984</v>
      </c>
      <c r="C10" s="236" t="s">
        <v>985</v>
      </c>
      <c r="D10" s="236" t="s">
        <v>986</v>
      </c>
      <c r="E10" s="1615">
        <v>15.61</v>
      </c>
      <c r="F10" s="20">
        <v>4580000</v>
      </c>
      <c r="G10" s="97">
        <v>71081600</v>
      </c>
    </row>
    <row r="11" spans="1:7" ht="12.75">
      <c r="A11" s="264" t="s">
        <v>987</v>
      </c>
      <c r="B11" s="118" t="s">
        <v>988</v>
      </c>
      <c r="C11" s="118" t="s">
        <v>989</v>
      </c>
      <c r="D11" s="118" t="s">
        <v>990</v>
      </c>
      <c r="E11" s="118"/>
      <c r="F11" s="118"/>
      <c r="G11" s="97">
        <v>60171959</v>
      </c>
    </row>
    <row r="12" spans="1:7" ht="12.75">
      <c r="A12" s="1749" t="s">
        <v>991</v>
      </c>
      <c r="B12" s="1749"/>
      <c r="C12" s="1749"/>
      <c r="D12" s="1749"/>
      <c r="E12" s="1749"/>
      <c r="F12" s="1749"/>
      <c r="G12" s="1749"/>
    </row>
    <row r="13" spans="1:7" ht="12.75">
      <c r="A13" s="1614" t="s">
        <v>992</v>
      </c>
      <c r="B13" s="236" t="s">
        <v>993</v>
      </c>
      <c r="C13" s="236" t="s">
        <v>994</v>
      </c>
      <c r="D13" s="236" t="s">
        <v>990</v>
      </c>
      <c r="E13" s="236"/>
      <c r="F13" s="236"/>
      <c r="G13" s="97">
        <v>17381040</v>
      </c>
    </row>
    <row r="14" spans="1:9" s="12" customFormat="1" ht="12.75">
      <c r="A14" s="264" t="s">
        <v>995</v>
      </c>
      <c r="B14" s="118" t="s">
        <v>996</v>
      </c>
      <c r="C14" s="118" t="s">
        <v>997</v>
      </c>
      <c r="D14" s="118" t="s">
        <v>990</v>
      </c>
      <c r="E14" s="118"/>
      <c r="F14" s="118"/>
      <c r="G14" s="97">
        <v>0</v>
      </c>
      <c r="I14" s="57"/>
    </row>
    <row r="15" spans="1:7" ht="12.75">
      <c r="A15" s="1614" t="s">
        <v>998</v>
      </c>
      <c r="B15" s="236" t="s">
        <v>999</v>
      </c>
      <c r="C15" s="236" t="s">
        <v>1000</v>
      </c>
      <c r="D15" s="236" t="s">
        <v>1001</v>
      </c>
      <c r="E15" s="236"/>
      <c r="F15" s="20">
        <v>22300</v>
      </c>
      <c r="G15" s="97">
        <v>4007310</v>
      </c>
    </row>
    <row r="16" spans="1:9" s="12" customFormat="1" ht="12.75">
      <c r="A16" s="264" t="s">
        <v>1002</v>
      </c>
      <c r="B16" s="118" t="s">
        <v>1003</v>
      </c>
      <c r="C16" s="118" t="s">
        <v>1004</v>
      </c>
      <c r="D16" s="118" t="s">
        <v>990</v>
      </c>
      <c r="E16" s="118"/>
      <c r="F16" s="13">
        <v>22300</v>
      </c>
      <c r="G16" s="97">
        <v>0</v>
      </c>
      <c r="I16" s="57"/>
    </row>
    <row r="17" spans="1:7" ht="12.75">
      <c r="A17" s="1614" t="s">
        <v>1005</v>
      </c>
      <c r="B17" s="236" t="s">
        <v>1006</v>
      </c>
      <c r="C17" s="236" t="s">
        <v>1007</v>
      </c>
      <c r="D17" s="236" t="s">
        <v>1008</v>
      </c>
      <c r="E17" s="236"/>
      <c r="F17" s="236"/>
      <c r="G17" s="97">
        <v>7136000</v>
      </c>
    </row>
    <row r="18" spans="1:9" s="12" customFormat="1" ht="12.75">
      <c r="A18" s="264" t="s">
        <v>1009</v>
      </c>
      <c r="B18" s="118" t="s">
        <v>1010</v>
      </c>
      <c r="C18" s="118" t="s">
        <v>1011</v>
      </c>
      <c r="D18" s="118" t="s">
        <v>990</v>
      </c>
      <c r="E18" s="118"/>
      <c r="F18" s="118"/>
      <c r="G18" s="97">
        <v>0</v>
      </c>
      <c r="I18" s="57"/>
    </row>
    <row r="19" spans="1:7" ht="12.75">
      <c r="A19" s="1614" t="s">
        <v>1012</v>
      </c>
      <c r="B19" s="236" t="s">
        <v>1013</v>
      </c>
      <c r="C19" s="236" t="s">
        <v>1014</v>
      </c>
      <c r="D19" s="236" t="s">
        <v>1015</v>
      </c>
      <c r="E19" s="236"/>
      <c r="F19" s="236"/>
      <c r="G19" s="97">
        <v>2610270</v>
      </c>
    </row>
    <row r="20" spans="1:9" s="12" customFormat="1" ht="12.75">
      <c r="A20" s="264" t="s">
        <v>1016</v>
      </c>
      <c r="B20" s="118" t="s">
        <v>1017</v>
      </c>
      <c r="C20" s="118" t="s">
        <v>1018</v>
      </c>
      <c r="D20" s="118" t="s">
        <v>990</v>
      </c>
      <c r="E20" s="118"/>
      <c r="F20" s="118"/>
      <c r="G20" s="97">
        <v>0</v>
      </c>
      <c r="I20" s="57"/>
    </row>
    <row r="21" spans="1:7" ht="12.75">
      <c r="A21" s="1614" t="s">
        <v>1019</v>
      </c>
      <c r="B21" s="236" t="s">
        <v>1020</v>
      </c>
      <c r="C21" s="236" t="s">
        <v>1021</v>
      </c>
      <c r="D21" s="236" t="s">
        <v>1008</v>
      </c>
      <c r="E21" s="236"/>
      <c r="F21" s="236"/>
      <c r="G21" s="97">
        <v>3627460</v>
      </c>
    </row>
    <row r="22" spans="1:9" s="12" customFormat="1" ht="12.75">
      <c r="A22" s="264" t="s">
        <v>1022</v>
      </c>
      <c r="B22" s="118" t="s">
        <v>1023</v>
      </c>
      <c r="C22" s="118" t="s">
        <v>1024</v>
      </c>
      <c r="D22" s="118" t="s">
        <v>990</v>
      </c>
      <c r="E22" s="118"/>
      <c r="F22" s="118"/>
      <c r="G22" s="97">
        <v>0</v>
      </c>
      <c r="I22" s="57"/>
    </row>
    <row r="23" spans="1:7" ht="12.75">
      <c r="A23" s="1614" t="s">
        <v>1025</v>
      </c>
      <c r="B23" s="236" t="s">
        <v>1026</v>
      </c>
      <c r="C23" s="236" t="s">
        <v>1027</v>
      </c>
      <c r="D23" s="236" t="s">
        <v>1028</v>
      </c>
      <c r="E23" s="236"/>
      <c r="F23" s="20">
        <v>2700</v>
      </c>
      <c r="G23" s="97">
        <v>9431100</v>
      </c>
    </row>
    <row r="24" spans="1:9" s="12" customFormat="1" ht="12.75">
      <c r="A24" s="264" t="s">
        <v>1029</v>
      </c>
      <c r="B24" s="118" t="s">
        <v>1030</v>
      </c>
      <c r="C24" s="118" t="s">
        <v>1031</v>
      </c>
      <c r="D24" s="118" t="s">
        <v>990</v>
      </c>
      <c r="E24" s="118"/>
      <c r="F24" s="13">
        <v>2700</v>
      </c>
      <c r="G24" s="97">
        <v>0</v>
      </c>
      <c r="I24" s="57"/>
    </row>
    <row r="25" spans="1:7" ht="25.5">
      <c r="A25" s="1614" t="s">
        <v>1032</v>
      </c>
      <c r="B25" s="236" t="s">
        <v>1033</v>
      </c>
      <c r="C25" s="236" t="s">
        <v>1034</v>
      </c>
      <c r="D25" s="120" t="s">
        <v>1035</v>
      </c>
      <c r="E25" s="236"/>
      <c r="F25" s="20">
        <v>2550</v>
      </c>
      <c r="G25" s="97">
        <v>359550</v>
      </c>
    </row>
    <row r="26" spans="1:9" s="12" customFormat="1" ht="12.75">
      <c r="A26" s="264" t="s">
        <v>1036</v>
      </c>
      <c r="B26" s="118" t="s">
        <v>1037</v>
      </c>
      <c r="C26" s="118" t="s">
        <v>1038</v>
      </c>
      <c r="D26" s="118" t="s">
        <v>990</v>
      </c>
      <c r="E26" s="118"/>
      <c r="F26" s="13">
        <v>2550</v>
      </c>
      <c r="G26" s="97">
        <v>0</v>
      </c>
      <c r="I26" s="57"/>
    </row>
    <row r="27" spans="1:7" ht="38.25">
      <c r="A27" s="1614" t="s">
        <v>1039</v>
      </c>
      <c r="B27" s="236" t="s">
        <v>1040</v>
      </c>
      <c r="C27" s="236" t="s">
        <v>1041</v>
      </c>
      <c r="D27" s="120" t="s">
        <v>1042</v>
      </c>
      <c r="E27" s="236"/>
      <c r="F27" s="20">
        <v>1.55</v>
      </c>
      <c r="G27" s="97">
        <v>0</v>
      </c>
    </row>
    <row r="28" spans="1:9" s="12" customFormat="1" ht="12.75">
      <c r="A28" s="264" t="s">
        <v>1043</v>
      </c>
      <c r="B28" s="118" t="s">
        <v>1044</v>
      </c>
      <c r="C28" s="118" t="s">
        <v>1045</v>
      </c>
      <c r="D28" s="118" t="s">
        <v>990</v>
      </c>
      <c r="E28" s="118"/>
      <c r="F28" s="1616">
        <v>1.55</v>
      </c>
      <c r="G28" s="97">
        <v>0</v>
      </c>
      <c r="I28" s="57"/>
    </row>
    <row r="29" spans="1:7" ht="12.75">
      <c r="A29" s="1614" t="s">
        <v>1046</v>
      </c>
      <c r="B29" s="236" t="s">
        <v>1047</v>
      </c>
      <c r="C29" s="236" t="s">
        <v>1048</v>
      </c>
      <c r="D29" s="236" t="s">
        <v>990</v>
      </c>
      <c r="E29" s="236"/>
      <c r="F29" s="236"/>
      <c r="G29" s="97">
        <v>60171959</v>
      </c>
    </row>
    <row r="30" spans="1:7" ht="12.75">
      <c r="A30" s="1614" t="s">
        <v>1049</v>
      </c>
      <c r="B30" s="236" t="s">
        <v>1050</v>
      </c>
      <c r="C30" s="236" t="s">
        <v>1051</v>
      </c>
      <c r="D30" s="236" t="s">
        <v>990</v>
      </c>
      <c r="E30" s="236"/>
      <c r="F30" s="236"/>
      <c r="G30" s="97">
        <v>38081331</v>
      </c>
    </row>
    <row r="31" spans="1:7" ht="25.5">
      <c r="A31" s="1614" t="s">
        <v>1052</v>
      </c>
      <c r="B31" s="120" t="s">
        <v>1053</v>
      </c>
      <c r="C31" s="236" t="s">
        <v>1054</v>
      </c>
      <c r="D31" s="236" t="s">
        <v>990</v>
      </c>
      <c r="E31" s="236"/>
      <c r="F31" s="236"/>
      <c r="G31" s="97">
        <v>0</v>
      </c>
    </row>
    <row r="32" spans="1:7" ht="12.75">
      <c r="A32" s="1614" t="s">
        <v>1055</v>
      </c>
      <c r="B32" s="236" t="s">
        <v>1056</v>
      </c>
      <c r="C32" s="236" t="s">
        <v>1057</v>
      </c>
      <c r="D32" s="236" t="s">
        <v>1058</v>
      </c>
      <c r="E32" s="20">
        <v>355</v>
      </c>
      <c r="F32" s="20">
        <v>100</v>
      </c>
      <c r="G32" s="97"/>
    </row>
    <row r="33" spans="1:7" ht="12.75">
      <c r="A33" s="1614">
        <v>23</v>
      </c>
      <c r="B33" s="236" t="s">
        <v>1121</v>
      </c>
      <c r="C33" s="236" t="s">
        <v>1120</v>
      </c>
      <c r="D33" s="236"/>
      <c r="E33" s="20"/>
      <c r="F33" s="20"/>
      <c r="G33" s="97">
        <v>190824</v>
      </c>
    </row>
    <row r="34" spans="1:7" ht="12.75">
      <c r="A34" s="1614">
        <v>24</v>
      </c>
      <c r="B34" s="236" t="s">
        <v>1059</v>
      </c>
      <c r="C34" s="236" t="s">
        <v>1122</v>
      </c>
      <c r="D34" s="236"/>
      <c r="E34" s="20"/>
      <c r="F34" s="20"/>
      <c r="G34" s="97">
        <v>1000000</v>
      </c>
    </row>
    <row r="35" spans="1:9" s="12" customFormat="1" ht="31.5">
      <c r="A35" s="1617">
        <v>25</v>
      </c>
      <c r="B35" s="1618" t="s">
        <v>1060</v>
      </c>
      <c r="C35" s="1619" t="s">
        <v>1061</v>
      </c>
      <c r="D35" s="1618" t="s">
        <v>990</v>
      </c>
      <c r="E35" s="1618"/>
      <c r="F35" s="1618"/>
      <c r="G35" s="1620">
        <v>61362783</v>
      </c>
      <c r="I35" s="57"/>
    </row>
    <row r="36" spans="1:7" ht="12.75">
      <c r="A36" s="1750" t="s">
        <v>1062</v>
      </c>
      <c r="B36" s="1750"/>
      <c r="C36" s="1750"/>
      <c r="D36" s="1750"/>
      <c r="E36" s="1750"/>
      <c r="F36" s="1750"/>
      <c r="G36" s="1750"/>
    </row>
    <row r="37" spans="1:7" ht="12.75">
      <c r="A37" s="1614">
        <v>26</v>
      </c>
      <c r="B37" s="236" t="s">
        <v>1063</v>
      </c>
      <c r="C37" s="236" t="s">
        <v>1064</v>
      </c>
      <c r="D37" s="236" t="s">
        <v>1028</v>
      </c>
      <c r="E37" s="1621">
        <v>10</v>
      </c>
      <c r="F37" s="20">
        <v>4469900</v>
      </c>
      <c r="G37" s="97">
        <v>29799333</v>
      </c>
    </row>
    <row r="38" spans="1:7" ht="12.75">
      <c r="A38" s="1627">
        <v>27</v>
      </c>
      <c r="B38" s="1628" t="s">
        <v>1065</v>
      </c>
      <c r="C38" s="1628" t="s">
        <v>1066</v>
      </c>
      <c r="D38" s="1628" t="s">
        <v>1028</v>
      </c>
      <c r="E38" s="1629">
        <v>6</v>
      </c>
      <c r="F38" s="1630">
        <v>1800000</v>
      </c>
      <c r="G38" s="1631">
        <v>7200000</v>
      </c>
    </row>
    <row r="39" spans="1:7" ht="12.75">
      <c r="A39" s="1627">
        <v>28</v>
      </c>
      <c r="B39" s="1628" t="s">
        <v>1067</v>
      </c>
      <c r="C39" s="1628" t="s">
        <v>1068</v>
      </c>
      <c r="D39" s="1628" t="s">
        <v>1028</v>
      </c>
      <c r="E39" s="1629">
        <v>1</v>
      </c>
      <c r="F39" s="1630">
        <v>4469900</v>
      </c>
      <c r="G39" s="1631">
        <v>2979933</v>
      </c>
    </row>
    <row r="40" spans="1:7" ht="12.75">
      <c r="A40" s="1627">
        <v>29</v>
      </c>
      <c r="B40" s="1628" t="s">
        <v>1069</v>
      </c>
      <c r="C40" s="1628" t="s">
        <v>1064</v>
      </c>
      <c r="D40" s="1628" t="s">
        <v>1028</v>
      </c>
      <c r="E40" s="1629">
        <v>9.6</v>
      </c>
      <c r="F40" s="1630">
        <v>4469900</v>
      </c>
      <c r="G40" s="1631">
        <v>14303680</v>
      </c>
    </row>
    <row r="41" spans="1:7" ht="12.75">
      <c r="A41" s="1627">
        <v>30</v>
      </c>
      <c r="B41" s="1628" t="s">
        <v>1070</v>
      </c>
      <c r="C41" s="1628" t="s">
        <v>1066</v>
      </c>
      <c r="D41" s="1628" t="s">
        <v>1028</v>
      </c>
      <c r="E41" s="1629">
        <v>7</v>
      </c>
      <c r="F41" s="1630">
        <v>1800000</v>
      </c>
      <c r="G41" s="1631">
        <v>4200000</v>
      </c>
    </row>
    <row r="42" spans="1:7" ht="12.75">
      <c r="A42" s="1627">
        <v>31</v>
      </c>
      <c r="B42" s="1628" t="s">
        <v>1071</v>
      </c>
      <c r="C42" s="1628" t="s">
        <v>1068</v>
      </c>
      <c r="D42" s="1628" t="s">
        <v>1028</v>
      </c>
      <c r="E42" s="1629">
        <v>1</v>
      </c>
      <c r="F42" s="1630">
        <v>4469000</v>
      </c>
      <c r="G42" s="1631">
        <v>0</v>
      </c>
    </row>
    <row r="43" spans="1:7" ht="12.75">
      <c r="A43" s="1627">
        <v>32</v>
      </c>
      <c r="B43" s="1628" t="s">
        <v>1072</v>
      </c>
      <c r="C43" s="1628" t="s">
        <v>1073</v>
      </c>
      <c r="D43" s="1628" t="s">
        <v>1028</v>
      </c>
      <c r="E43" s="1629">
        <v>9.6</v>
      </c>
      <c r="F43" s="1630">
        <v>38200</v>
      </c>
      <c r="G43" s="1631">
        <v>366720</v>
      </c>
    </row>
    <row r="44" spans="1:7" ht="12.75">
      <c r="A44" s="1627" t="s">
        <v>1074</v>
      </c>
      <c r="B44" s="1628" t="s">
        <v>1075</v>
      </c>
      <c r="C44" s="1628" t="s">
        <v>1076</v>
      </c>
      <c r="D44" s="1628" t="s">
        <v>1028</v>
      </c>
      <c r="E44" s="1629">
        <v>1</v>
      </c>
      <c r="F44" s="1630">
        <v>38200</v>
      </c>
      <c r="G44" s="1631">
        <v>0</v>
      </c>
    </row>
    <row r="45" spans="1:7" ht="12.75">
      <c r="A45" s="1751" t="s">
        <v>1077</v>
      </c>
      <c r="B45" s="1751"/>
      <c r="C45" s="1751"/>
      <c r="D45" s="1751"/>
      <c r="E45" s="1751"/>
      <c r="F45" s="1751"/>
      <c r="G45" s="1751"/>
    </row>
    <row r="46" spans="1:7" ht="12.75">
      <c r="A46" s="1627" t="s">
        <v>1078</v>
      </c>
      <c r="B46" s="1628" t="s">
        <v>1079</v>
      </c>
      <c r="C46" s="1628" t="s">
        <v>1080</v>
      </c>
      <c r="D46" s="1628" t="s">
        <v>1028</v>
      </c>
      <c r="E46" s="1630">
        <v>0</v>
      </c>
      <c r="F46" s="1630">
        <v>80000</v>
      </c>
      <c r="G46" s="1631">
        <v>0</v>
      </c>
    </row>
    <row r="47" spans="1:7" ht="12.75">
      <c r="A47" s="1627" t="s">
        <v>1081</v>
      </c>
      <c r="B47" s="1628" t="s">
        <v>1082</v>
      </c>
      <c r="C47" s="1628" t="s">
        <v>1083</v>
      </c>
      <c r="D47" s="1628" t="s">
        <v>1028</v>
      </c>
      <c r="E47" s="1630">
        <v>106</v>
      </c>
      <c r="F47" s="1630">
        <v>81700</v>
      </c>
      <c r="G47" s="1631">
        <v>5773467</v>
      </c>
    </row>
    <row r="48" spans="1:7" ht="12.75">
      <c r="A48" s="1627">
        <v>36</v>
      </c>
      <c r="B48" s="1628" t="s">
        <v>1084</v>
      </c>
      <c r="C48" s="1628" t="s">
        <v>1083</v>
      </c>
      <c r="D48" s="1628" t="s">
        <v>1028</v>
      </c>
      <c r="E48" s="1628">
        <v>103</v>
      </c>
      <c r="F48" s="1632">
        <v>81700</v>
      </c>
      <c r="G48" s="1631">
        <v>2805033</v>
      </c>
    </row>
    <row r="49" spans="1:7" ht="12.75">
      <c r="A49" s="1751" t="s">
        <v>1085</v>
      </c>
      <c r="B49" s="1751"/>
      <c r="C49" s="1751"/>
      <c r="D49" s="1751"/>
      <c r="E49" s="1751"/>
      <c r="F49" s="1751"/>
      <c r="G49" s="1751"/>
    </row>
    <row r="50" spans="1:7" ht="12.75">
      <c r="A50" s="1627">
        <v>37</v>
      </c>
      <c r="B50" s="1628" t="s">
        <v>1086</v>
      </c>
      <c r="C50" s="1628" t="s">
        <v>1087</v>
      </c>
      <c r="D50" s="1628" t="s">
        <v>1028</v>
      </c>
      <c r="E50" s="1628">
        <v>0</v>
      </c>
      <c r="F50" s="1628">
        <v>181000</v>
      </c>
      <c r="G50" s="1631">
        <v>0</v>
      </c>
    </row>
    <row r="51" spans="1:7" ht="12.75">
      <c r="A51" s="1627">
        <v>38</v>
      </c>
      <c r="B51" s="1628" t="s">
        <v>1088</v>
      </c>
      <c r="C51" s="1628" t="s">
        <v>1089</v>
      </c>
      <c r="D51" s="1628" t="s">
        <v>1028</v>
      </c>
      <c r="E51" s="1628">
        <v>0</v>
      </c>
      <c r="F51" s="1628">
        <v>181000</v>
      </c>
      <c r="G51" s="1631">
        <v>0</v>
      </c>
    </row>
    <row r="52" spans="1:7" ht="12.75">
      <c r="A52" s="1627">
        <v>39</v>
      </c>
      <c r="B52" s="1628" t="s">
        <v>1090</v>
      </c>
      <c r="C52" s="1628" t="s">
        <v>1091</v>
      </c>
      <c r="D52" s="1628" t="s">
        <v>990</v>
      </c>
      <c r="E52" s="1628">
        <v>1</v>
      </c>
      <c r="F52" s="1628"/>
      <c r="G52" s="1631"/>
    </row>
    <row r="53" spans="1:7" ht="12.75">
      <c r="A53" s="1751" t="s">
        <v>1123</v>
      </c>
      <c r="B53" s="1751"/>
      <c r="C53" s="1751"/>
      <c r="D53" s="1751"/>
      <c r="E53" s="1751"/>
      <c r="F53" s="1751"/>
      <c r="G53" s="1751"/>
    </row>
    <row r="54" spans="1:7" ht="12.75">
      <c r="A54" s="1627">
        <v>40</v>
      </c>
      <c r="B54" s="1628" t="s">
        <v>1124</v>
      </c>
      <c r="C54" s="1628" t="s">
        <v>1126</v>
      </c>
      <c r="D54" s="1628" t="s">
        <v>1028</v>
      </c>
      <c r="E54" s="1628">
        <v>1</v>
      </c>
      <c r="F54" s="1628">
        <v>418900</v>
      </c>
      <c r="G54" s="1631">
        <v>1570876</v>
      </c>
    </row>
    <row r="55" spans="1:7" ht="12.75">
      <c r="A55" s="1627">
        <v>41</v>
      </c>
      <c r="B55" s="1628" t="s">
        <v>1125</v>
      </c>
      <c r="C55" s="1628" t="s">
        <v>1127</v>
      </c>
      <c r="D55" s="1628" t="s">
        <v>1028</v>
      </c>
      <c r="E55" s="1628">
        <v>3</v>
      </c>
      <c r="F55" s="1628">
        <v>383992</v>
      </c>
      <c r="G55" s="1631">
        <v>2202000</v>
      </c>
    </row>
    <row r="56" spans="1:7" ht="31.5">
      <c r="A56" s="1617">
        <v>42</v>
      </c>
      <c r="B56" s="1618" t="s">
        <v>1092</v>
      </c>
      <c r="C56" s="1619" t="s">
        <v>1093</v>
      </c>
      <c r="D56" s="1618" t="s">
        <v>990</v>
      </c>
      <c r="E56" s="1618"/>
      <c r="F56" s="1618"/>
      <c r="G56" s="1620">
        <f>SUM(G37+G38+G39+G40+G41+G42+G43+G44+G47+G48+G54)+G55</f>
        <v>71201042</v>
      </c>
    </row>
    <row r="57" spans="1:9" s="266" customFormat="1" ht="12.75">
      <c r="A57" s="1622">
        <v>43</v>
      </c>
      <c r="B57" s="1623" t="s">
        <v>1094</v>
      </c>
      <c r="C57" s="1624" t="s">
        <v>1095</v>
      </c>
      <c r="D57" s="1623" t="s">
        <v>990</v>
      </c>
      <c r="E57" s="1623"/>
      <c r="F57" s="1623"/>
      <c r="G57" s="77">
        <v>5158000</v>
      </c>
      <c r="I57" s="1625"/>
    </row>
    <row r="58" spans="1:7" ht="12.75">
      <c r="A58" s="1750" t="s">
        <v>1096</v>
      </c>
      <c r="B58" s="1750"/>
      <c r="C58" s="1750"/>
      <c r="D58" s="1750"/>
      <c r="E58" s="1750"/>
      <c r="F58" s="1750"/>
      <c r="G58" s="1750"/>
    </row>
    <row r="59" spans="1:7" ht="12.75">
      <c r="A59" s="1614">
        <v>44</v>
      </c>
      <c r="B59" s="236" t="s">
        <v>1097</v>
      </c>
      <c r="C59" s="236" t="s">
        <v>1098</v>
      </c>
      <c r="D59" s="236" t="s">
        <v>1099</v>
      </c>
      <c r="E59" s="236"/>
      <c r="F59" s="236">
        <v>3000000</v>
      </c>
      <c r="G59" s="97">
        <v>15000000</v>
      </c>
    </row>
    <row r="60" spans="1:7" ht="12.75">
      <c r="A60" s="1750" t="s">
        <v>1100</v>
      </c>
      <c r="B60" s="1750"/>
      <c r="C60" s="1750"/>
      <c r="D60" s="1750"/>
      <c r="E60" s="1750"/>
      <c r="F60" s="1750"/>
      <c r="G60" s="1750"/>
    </row>
    <row r="61" spans="1:7" ht="12.75">
      <c r="A61" s="1614">
        <v>45</v>
      </c>
      <c r="B61" s="236" t="s">
        <v>1101</v>
      </c>
      <c r="C61" s="236" t="s">
        <v>1102</v>
      </c>
      <c r="D61" s="236" t="s">
        <v>1028</v>
      </c>
      <c r="E61" s="236">
        <v>12</v>
      </c>
      <c r="F61" s="236">
        <v>494100</v>
      </c>
      <c r="G61" s="97">
        <v>5929200</v>
      </c>
    </row>
    <row r="62" spans="1:7" ht="12.75">
      <c r="A62" s="1614">
        <v>46</v>
      </c>
      <c r="B62" s="236" t="s">
        <v>1128</v>
      </c>
      <c r="C62" s="236" t="s">
        <v>1129</v>
      </c>
      <c r="D62" s="236" t="s">
        <v>1028</v>
      </c>
      <c r="E62" s="236">
        <v>12</v>
      </c>
      <c r="F62" s="236">
        <v>118750</v>
      </c>
      <c r="G62" s="97">
        <v>1425000</v>
      </c>
    </row>
    <row r="63" spans="1:7" ht="12.75">
      <c r="A63" s="1750" t="s">
        <v>1103</v>
      </c>
      <c r="B63" s="1750"/>
      <c r="C63" s="1750"/>
      <c r="D63" s="1750"/>
      <c r="E63" s="1750"/>
      <c r="F63" s="1750"/>
      <c r="G63" s="1750"/>
    </row>
    <row r="64" spans="1:11" ht="12.75">
      <c r="A64" s="1614">
        <v>47</v>
      </c>
      <c r="B64" s="236" t="s">
        <v>1104</v>
      </c>
      <c r="C64" s="236" t="s">
        <v>1105</v>
      </c>
      <c r="D64" s="236" t="s">
        <v>1028</v>
      </c>
      <c r="E64" s="236">
        <v>8.16</v>
      </c>
      <c r="F64" s="236">
        <v>1632000</v>
      </c>
      <c r="G64" s="97">
        <v>13741440</v>
      </c>
      <c r="K64" s="57"/>
    </row>
    <row r="65" spans="1:11" ht="12.75">
      <c r="A65" s="1614">
        <v>48</v>
      </c>
      <c r="B65" s="236" t="s">
        <v>1106</v>
      </c>
      <c r="C65" s="236" t="s">
        <v>1107</v>
      </c>
      <c r="D65" s="236" t="s">
        <v>990</v>
      </c>
      <c r="E65" s="236"/>
      <c r="F65" s="236"/>
      <c r="G65" s="97">
        <v>11509678</v>
      </c>
      <c r="K65" s="57"/>
    </row>
    <row r="66" spans="1:7" ht="12.75">
      <c r="A66" s="1614">
        <v>49</v>
      </c>
      <c r="B66" s="236" t="s">
        <v>1108</v>
      </c>
      <c r="C66" s="236" t="s">
        <v>1109</v>
      </c>
      <c r="D66" s="236" t="s">
        <v>990</v>
      </c>
      <c r="E66" s="236">
        <v>300</v>
      </c>
      <c r="F66" s="236">
        <v>456</v>
      </c>
      <c r="G66" s="97"/>
    </row>
    <row r="67" spans="1:9" s="1311" customFormat="1" ht="31.5">
      <c r="A67" s="1617">
        <v>50</v>
      </c>
      <c r="B67" s="1618" t="s">
        <v>176</v>
      </c>
      <c r="C67" s="1619" t="s">
        <v>1110</v>
      </c>
      <c r="D67" s="1618" t="s">
        <v>990</v>
      </c>
      <c r="E67" s="1618"/>
      <c r="F67" s="1618"/>
      <c r="G67" s="1620">
        <f>SUM(G59+G61+G64+G65)+G57+G62</f>
        <v>52763318</v>
      </c>
      <c r="I67" s="57"/>
    </row>
    <row r="68" spans="1:7" ht="12.75">
      <c r="A68" s="1750" t="s">
        <v>1111</v>
      </c>
      <c r="B68" s="1750"/>
      <c r="C68" s="1750"/>
      <c r="D68" s="1750"/>
      <c r="E68" s="1750"/>
      <c r="F68" s="1750"/>
      <c r="G68" s="1750"/>
    </row>
    <row r="69" spans="1:7" ht="38.25">
      <c r="A69" s="1614">
        <v>51</v>
      </c>
      <c r="B69" s="236" t="s">
        <v>1113</v>
      </c>
      <c r="C69" s="120" t="s">
        <v>1114</v>
      </c>
      <c r="D69" s="236" t="s">
        <v>1112</v>
      </c>
      <c r="E69" s="236"/>
      <c r="F69" s="236">
        <v>1140</v>
      </c>
      <c r="G69" s="97">
        <v>3982020</v>
      </c>
    </row>
    <row r="70" spans="1:7" ht="25.5">
      <c r="A70" s="1614">
        <v>52</v>
      </c>
      <c r="B70" s="236" t="s">
        <v>1115</v>
      </c>
      <c r="C70" s="120" t="s">
        <v>1116</v>
      </c>
      <c r="D70" s="236" t="s">
        <v>1112</v>
      </c>
      <c r="E70" s="236"/>
      <c r="F70" s="236"/>
      <c r="G70" s="97">
        <v>215686</v>
      </c>
    </row>
    <row r="71" spans="1:7" ht="25.5">
      <c r="A71" s="1614">
        <v>53</v>
      </c>
      <c r="B71" s="236" t="s">
        <v>1117</v>
      </c>
      <c r="C71" s="120" t="s">
        <v>1118</v>
      </c>
      <c r="D71" s="236" t="s">
        <v>1112</v>
      </c>
      <c r="E71" s="236"/>
      <c r="F71" s="236"/>
      <c r="G71" s="97">
        <f>SUM(G69:G70)</f>
        <v>4197706</v>
      </c>
    </row>
    <row r="72" spans="1:7" ht="15.75">
      <c r="A72" s="1617">
        <v>54</v>
      </c>
      <c r="B72" s="1618" t="s">
        <v>186</v>
      </c>
      <c r="C72" s="1618" t="s">
        <v>1119</v>
      </c>
      <c r="D72" s="1618" t="s">
        <v>1112</v>
      </c>
      <c r="E72" s="1618"/>
      <c r="F72" s="1618"/>
      <c r="G72" s="1620">
        <f>SUM(G71)</f>
        <v>4197706</v>
      </c>
    </row>
  </sheetData>
  <sheetProtection selectLockedCells="1" selectUnlockedCells="1"/>
  <mergeCells count="13">
    <mergeCell ref="A49:G49"/>
    <mergeCell ref="A53:G53"/>
    <mergeCell ref="A58:G58"/>
    <mergeCell ref="A60:G60"/>
    <mergeCell ref="A63:G63"/>
    <mergeCell ref="A68:G68"/>
    <mergeCell ref="F1:G1"/>
    <mergeCell ref="A2:G2"/>
    <mergeCell ref="A4:G4"/>
    <mergeCell ref="A12:G12"/>
    <mergeCell ref="A36:G36"/>
    <mergeCell ref="A45:G45"/>
    <mergeCell ref="B3:F3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O13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25.00390625" style="0" customWidth="1"/>
    <col min="3" max="3" width="14.140625" style="0" customWidth="1"/>
    <col min="4" max="4" width="15.8515625" style="0" customWidth="1"/>
    <col min="5" max="5" width="13.28125" style="0" customWidth="1"/>
    <col min="6" max="6" width="15.8515625" style="0" customWidth="1"/>
    <col min="7" max="7" width="18.421875" style="0" customWidth="1"/>
  </cols>
  <sheetData>
    <row r="1" spans="1:15" ht="15">
      <c r="A1" s="1755" t="s">
        <v>1145</v>
      </c>
      <c r="B1" s="1755"/>
      <c r="C1" s="1755"/>
      <c r="D1" s="1755"/>
      <c r="E1" s="1755"/>
      <c r="F1" s="1755"/>
      <c r="G1" s="1755"/>
      <c r="H1" s="1755"/>
      <c r="I1" s="1755"/>
      <c r="J1" s="1515"/>
      <c r="K1" s="1515"/>
      <c r="L1" s="1515"/>
      <c r="M1" s="1515"/>
      <c r="N1" s="1515"/>
      <c r="O1" s="1515"/>
    </row>
    <row r="2" spans="1:15" ht="15">
      <c r="A2" s="1756"/>
      <c r="B2" s="1756"/>
      <c r="C2" s="1756"/>
      <c r="D2" s="1756"/>
      <c r="E2" s="1756"/>
      <c r="F2" s="1516"/>
      <c r="G2" s="1516"/>
      <c r="H2" s="1516"/>
      <c r="I2" s="1516"/>
      <c r="J2" s="1516"/>
      <c r="K2" s="1516"/>
      <c r="L2" s="1516"/>
      <c r="M2" s="1516"/>
      <c r="N2" s="1516"/>
      <c r="O2" s="1516"/>
    </row>
    <row r="3" spans="1:10" ht="15.75">
      <c r="A3" s="1748" t="s">
        <v>1133</v>
      </c>
      <c r="B3" s="1748"/>
      <c r="C3" s="1748"/>
      <c r="D3" s="1748"/>
      <c r="E3" s="1748"/>
      <c r="F3" s="1748"/>
      <c r="G3" s="1748"/>
      <c r="H3" s="1748"/>
      <c r="I3" s="1748"/>
      <c r="J3" s="1748"/>
    </row>
    <row r="4" spans="2:7" ht="12.75">
      <c r="B4" s="1752" t="s">
        <v>1146</v>
      </c>
      <c r="C4" s="1752"/>
      <c r="D4" s="1752"/>
      <c r="E4" s="1752"/>
      <c r="F4" s="1752"/>
      <c r="G4" s="1752"/>
    </row>
    <row r="5" spans="1:7" ht="15.75" customHeight="1">
      <c r="A5" s="1757" t="s">
        <v>935</v>
      </c>
      <c r="B5" s="1757"/>
      <c r="C5" s="1757"/>
      <c r="D5" s="1757"/>
      <c r="E5" s="1757"/>
      <c r="F5" s="1757"/>
      <c r="G5" s="1757"/>
    </row>
    <row r="6" spans="1:7" ht="15.75" customHeight="1">
      <c r="A6" s="1758" t="s">
        <v>239</v>
      </c>
      <c r="B6" s="1758"/>
      <c r="C6" s="1758"/>
      <c r="D6" s="1758"/>
      <c r="E6" s="1758"/>
      <c r="F6" s="1758"/>
      <c r="G6" s="1758"/>
    </row>
    <row r="7" spans="1:7" ht="15.75">
      <c r="A7" s="1518"/>
      <c r="B7" s="1517"/>
      <c r="C7" s="1517"/>
      <c r="D7" s="1517"/>
      <c r="E7" s="1517"/>
      <c r="F7" s="1517"/>
      <c r="G7" s="1518"/>
    </row>
    <row r="8" spans="1:7" ht="16.5" thickBot="1">
      <c r="A8" s="1518"/>
      <c r="B8" s="1517"/>
      <c r="C8" s="1517"/>
      <c r="D8" s="1517"/>
      <c r="E8" s="1517"/>
      <c r="F8" s="1759" t="s">
        <v>219</v>
      </c>
      <c r="G8" s="1759"/>
    </row>
    <row r="9" spans="1:7" ht="39" thickBot="1">
      <c r="A9" s="1753" t="s">
        <v>936</v>
      </c>
      <c r="B9" s="1519" t="s">
        <v>937</v>
      </c>
      <c r="C9" s="1519" t="s">
        <v>938</v>
      </c>
      <c r="D9" s="1519" t="s">
        <v>939</v>
      </c>
      <c r="E9" s="1519" t="s">
        <v>940</v>
      </c>
      <c r="F9" s="1519" t="s">
        <v>941</v>
      </c>
      <c r="G9" s="1520" t="s">
        <v>942</v>
      </c>
    </row>
    <row r="10" spans="1:7" ht="12.75">
      <c r="A10" s="1754"/>
      <c r="B10" s="1521" t="s">
        <v>161</v>
      </c>
      <c r="C10" s="1521" t="s">
        <v>162</v>
      </c>
      <c r="D10" s="1521" t="s">
        <v>163</v>
      </c>
      <c r="E10" s="1521" t="s">
        <v>164</v>
      </c>
      <c r="F10" s="1522" t="s">
        <v>505</v>
      </c>
      <c r="G10" s="1523" t="s">
        <v>525</v>
      </c>
    </row>
    <row r="11" spans="1:7" ht="51">
      <c r="A11" s="1524" t="s">
        <v>38</v>
      </c>
      <c r="B11" s="1525" t="s">
        <v>943</v>
      </c>
      <c r="C11" s="1526">
        <v>0</v>
      </c>
      <c r="D11" s="1527"/>
      <c r="E11" s="1528"/>
      <c r="F11" s="1529">
        <v>0</v>
      </c>
      <c r="G11" s="1530">
        <v>0</v>
      </c>
    </row>
    <row r="12" spans="1:7" ht="12.75">
      <c r="A12" s="1531" t="s">
        <v>40</v>
      </c>
      <c r="B12" s="1532" t="s">
        <v>944</v>
      </c>
      <c r="C12" s="1533">
        <v>0</v>
      </c>
      <c r="D12" s="1533"/>
      <c r="E12" s="1533"/>
      <c r="F12" s="1534">
        <v>0</v>
      </c>
      <c r="G12" s="1535"/>
    </row>
    <row r="13" spans="1:7" ht="26.25" thickBot="1">
      <c r="A13" s="1536" t="s">
        <v>47</v>
      </c>
      <c r="B13" s="1537" t="s">
        <v>945</v>
      </c>
      <c r="C13" s="1538">
        <v>0</v>
      </c>
      <c r="D13" s="1538"/>
      <c r="E13" s="1538"/>
      <c r="F13" s="1538">
        <v>0</v>
      </c>
      <c r="G13" s="1539"/>
    </row>
  </sheetData>
  <sheetProtection selectLockedCells="1" selectUnlockedCells="1"/>
  <mergeCells count="8">
    <mergeCell ref="A9:A10"/>
    <mergeCell ref="A1:I1"/>
    <mergeCell ref="A2:E2"/>
    <mergeCell ref="A3:J3"/>
    <mergeCell ref="A5:G5"/>
    <mergeCell ref="A6:G6"/>
    <mergeCell ref="F8:G8"/>
    <mergeCell ref="B4:G4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IV47"/>
  <sheetViews>
    <sheetView view="pageBreakPreview" zoomScaleSheetLayoutView="100" zoomScalePageLayoutView="0" workbookViewId="0" topLeftCell="A1">
      <selection activeCell="F11" sqref="F11"/>
    </sheetView>
  </sheetViews>
  <sheetFormatPr defaultColWidth="11.7109375" defaultRowHeight="12.75" customHeight="1"/>
  <cols>
    <col min="1" max="1" width="7.57421875" style="109" customWidth="1"/>
    <col min="2" max="2" width="36.8515625" style="56" customWidth="1"/>
    <col min="3" max="6" width="20.57421875" style="56" bestFit="1" customWidth="1"/>
    <col min="7" max="16384" width="11.7109375" style="56" customWidth="1"/>
  </cols>
  <sheetData>
    <row r="1" spans="1:6" s="111" customFormat="1" ht="25.5" customHeight="1">
      <c r="A1" s="1761" t="s">
        <v>1148</v>
      </c>
      <c r="B1" s="1761"/>
      <c r="C1" s="1761"/>
      <c r="D1" s="1761"/>
      <c r="E1" s="1761"/>
      <c r="F1" s="1761"/>
    </row>
    <row r="2" spans="1:6" ht="12.75" customHeight="1">
      <c r="A2" s="1742" t="s">
        <v>1133</v>
      </c>
      <c r="B2" s="1742"/>
      <c r="C2" s="1742"/>
      <c r="D2" s="1742"/>
      <c r="E2" s="1742"/>
      <c r="F2" s="1742"/>
    </row>
    <row r="3" spans="1:6" ht="12.75" customHeight="1">
      <c r="A3" s="1763" t="s">
        <v>1147</v>
      </c>
      <c r="B3" s="1763"/>
      <c r="C3" s="1763"/>
      <c r="D3" s="1763"/>
      <c r="E3" s="1763"/>
      <c r="F3" s="1763"/>
    </row>
    <row r="4" spans="1:6" ht="12.75" customHeight="1">
      <c r="A4" s="1763"/>
      <c r="B4" s="1763"/>
      <c r="C4" s="1763"/>
      <c r="D4" s="1763"/>
      <c r="E4" s="1763"/>
      <c r="F4" s="1763"/>
    </row>
    <row r="5" spans="1:256" ht="12.75" customHeight="1">
      <c r="A5" s="1747" t="s">
        <v>73</v>
      </c>
      <c r="B5" s="1747"/>
      <c r="C5" s="1747"/>
      <c r="D5" s="1747"/>
      <c r="E5" s="1747"/>
      <c r="F5" s="174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747" t="s">
        <v>526</v>
      </c>
      <c r="B6" s="1747"/>
      <c r="C6" s="1747"/>
      <c r="D6" s="1747"/>
      <c r="E6" s="1747"/>
      <c r="F6" s="174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69"/>
      <c r="B7" s="269"/>
      <c r="C7" s="270"/>
      <c r="D7" s="270"/>
      <c r="E7" s="270"/>
      <c r="F7" s="27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71"/>
      <c r="B8"/>
      <c r="C8"/>
      <c r="D8" s="1762" t="s">
        <v>219</v>
      </c>
      <c r="E8" s="1762"/>
      <c r="F8" s="176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760" t="s">
        <v>33</v>
      </c>
      <c r="B9" s="267" t="s">
        <v>24</v>
      </c>
      <c r="C9" s="255" t="s">
        <v>527</v>
      </c>
      <c r="D9" s="255" t="s">
        <v>528</v>
      </c>
      <c r="E9" s="255" t="s">
        <v>529</v>
      </c>
      <c r="F9" s="255" t="s">
        <v>530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760"/>
      <c r="B10" s="267" t="s">
        <v>161</v>
      </c>
      <c r="C10" s="255" t="s">
        <v>162</v>
      </c>
      <c r="D10" s="255" t="s">
        <v>163</v>
      </c>
      <c r="E10" s="255" t="s">
        <v>164</v>
      </c>
      <c r="F10" s="255" t="s">
        <v>505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7" customHeight="1">
      <c r="A11" s="272" t="s">
        <v>38</v>
      </c>
      <c r="B11" s="868" t="s">
        <v>168</v>
      </c>
      <c r="C11" s="273">
        <v>331534183</v>
      </c>
      <c r="D11" s="273">
        <v>198000000</v>
      </c>
      <c r="E11" s="273">
        <v>198000000</v>
      </c>
      <c r="F11" s="273">
        <v>198000000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78" customFormat="1" ht="27" customHeight="1">
      <c r="A12" s="277" t="s">
        <v>40</v>
      </c>
      <c r="B12" s="278" t="s">
        <v>170</v>
      </c>
      <c r="C12" s="273">
        <v>579188024</v>
      </c>
      <c r="D12" s="273">
        <v>0</v>
      </c>
      <c r="E12" s="273">
        <v>0</v>
      </c>
      <c r="F12" s="273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78" customFormat="1" ht="12.75" customHeight="1">
      <c r="A13" s="272" t="s">
        <v>47</v>
      </c>
      <c r="B13" s="276" t="s">
        <v>177</v>
      </c>
      <c r="C13" s="273">
        <v>171345614</v>
      </c>
      <c r="D13" s="273">
        <f>SUM(D14:D18)</f>
        <v>136000000</v>
      </c>
      <c r="E13" s="273">
        <f>SUM(E14:E18)</f>
        <v>136000000</v>
      </c>
      <c r="F13" s="273">
        <f>SUM(F14:F18)</f>
        <v>136000000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873" customFormat="1" ht="12.75" customHeight="1">
      <c r="A14" s="869" t="s">
        <v>49</v>
      </c>
      <c r="B14" s="875" t="s">
        <v>754</v>
      </c>
      <c r="C14" s="871">
        <v>6985609</v>
      </c>
      <c r="D14" s="871">
        <v>6685000</v>
      </c>
      <c r="E14" s="871">
        <v>6685000</v>
      </c>
      <c r="F14" s="871">
        <v>6685000</v>
      </c>
      <c r="G14" s="872"/>
      <c r="H14" s="872"/>
      <c r="I14" s="872"/>
      <c r="J14" s="872"/>
      <c r="K14" s="872"/>
      <c r="L14" s="872"/>
      <c r="M14" s="872"/>
      <c r="N14" s="872"/>
      <c r="O14" s="872"/>
      <c r="P14" s="872"/>
      <c r="Q14" s="872"/>
      <c r="R14" s="872"/>
      <c r="S14" s="872"/>
      <c r="T14" s="872"/>
      <c r="U14" s="872"/>
      <c r="V14" s="872"/>
      <c r="W14" s="872"/>
      <c r="X14" s="872"/>
      <c r="Y14" s="872"/>
      <c r="Z14" s="872"/>
      <c r="AA14" s="872"/>
      <c r="AB14" s="872"/>
      <c r="AC14" s="872"/>
      <c r="AD14" s="872"/>
      <c r="AE14" s="872"/>
      <c r="AF14" s="872"/>
      <c r="AG14" s="872"/>
      <c r="AH14" s="872"/>
      <c r="AI14" s="872"/>
      <c r="AJ14" s="872"/>
      <c r="AK14" s="872"/>
      <c r="AL14" s="872"/>
      <c r="AM14" s="872"/>
      <c r="AN14" s="872"/>
      <c r="AO14" s="872"/>
      <c r="AP14" s="872"/>
      <c r="AQ14" s="872"/>
      <c r="AR14" s="872"/>
      <c r="AS14" s="872"/>
      <c r="AT14" s="872"/>
      <c r="AU14" s="872"/>
      <c r="AV14" s="872"/>
      <c r="AW14" s="872"/>
      <c r="AX14" s="872"/>
      <c r="AY14" s="872"/>
      <c r="AZ14" s="872"/>
      <c r="BA14" s="872"/>
      <c r="BB14" s="872"/>
      <c r="BC14" s="872"/>
      <c r="BD14" s="872"/>
      <c r="BE14" s="872"/>
      <c r="BF14" s="872"/>
      <c r="BG14" s="872"/>
      <c r="BH14" s="872"/>
      <c r="BI14" s="872"/>
      <c r="BJ14" s="872"/>
      <c r="BK14" s="872"/>
      <c r="BL14" s="872"/>
      <c r="BM14" s="872"/>
      <c r="BN14" s="872"/>
      <c r="BO14" s="872"/>
      <c r="BP14" s="872"/>
      <c r="BQ14" s="872"/>
      <c r="BR14" s="872"/>
      <c r="BS14" s="872"/>
      <c r="BT14" s="872"/>
      <c r="BU14" s="872"/>
      <c r="BV14" s="872"/>
      <c r="BW14" s="872"/>
      <c r="BX14" s="872"/>
      <c r="BY14" s="872"/>
      <c r="BZ14" s="872"/>
      <c r="CA14" s="872"/>
      <c r="CB14" s="872"/>
      <c r="CC14" s="872"/>
      <c r="CD14" s="872"/>
      <c r="CE14" s="872"/>
      <c r="CF14" s="872"/>
      <c r="CG14" s="872"/>
      <c r="CH14" s="872"/>
      <c r="CI14" s="872"/>
      <c r="CJ14" s="872"/>
      <c r="CK14" s="872"/>
      <c r="CL14" s="872"/>
      <c r="CM14" s="872"/>
      <c r="CN14" s="872"/>
      <c r="CO14" s="872"/>
      <c r="CP14" s="872"/>
      <c r="CQ14" s="872"/>
      <c r="CR14" s="872"/>
      <c r="CS14" s="872"/>
      <c r="CT14" s="872"/>
      <c r="CU14" s="872"/>
      <c r="CV14" s="872"/>
      <c r="CW14" s="872"/>
      <c r="CX14" s="872"/>
      <c r="CY14" s="872"/>
      <c r="CZ14" s="872"/>
      <c r="DA14" s="872"/>
      <c r="DB14" s="872"/>
      <c r="DC14" s="872"/>
      <c r="DD14" s="872"/>
      <c r="DE14" s="872"/>
      <c r="DF14" s="872"/>
      <c r="DG14" s="872"/>
      <c r="DH14" s="872"/>
      <c r="DI14" s="872"/>
      <c r="DJ14" s="872"/>
      <c r="DK14" s="872"/>
      <c r="DL14" s="872"/>
      <c r="DM14" s="872"/>
      <c r="DN14" s="872"/>
      <c r="DO14" s="872"/>
      <c r="DP14" s="872"/>
      <c r="DQ14" s="872"/>
      <c r="DR14" s="872"/>
      <c r="DS14" s="872"/>
      <c r="DT14" s="872"/>
      <c r="DU14" s="872"/>
      <c r="DV14" s="872"/>
      <c r="DW14" s="872"/>
      <c r="DX14" s="872"/>
      <c r="DY14" s="872"/>
      <c r="DZ14" s="872"/>
      <c r="EA14" s="872"/>
      <c r="EB14" s="872"/>
      <c r="EC14" s="872"/>
      <c r="ED14" s="872"/>
      <c r="EE14" s="872"/>
      <c r="EF14" s="872"/>
      <c r="EG14" s="872"/>
      <c r="EH14" s="872"/>
      <c r="EI14" s="872"/>
      <c r="EJ14" s="872"/>
      <c r="EK14" s="872"/>
      <c r="EL14" s="872"/>
      <c r="EM14" s="872"/>
      <c r="EN14" s="872"/>
      <c r="EO14" s="872"/>
      <c r="EP14" s="872"/>
      <c r="EQ14" s="872"/>
      <c r="ER14" s="872"/>
      <c r="ES14" s="872"/>
      <c r="ET14" s="872"/>
      <c r="EU14" s="872"/>
      <c r="EV14" s="872"/>
      <c r="EW14" s="872"/>
      <c r="EX14" s="872"/>
      <c r="EY14" s="872"/>
      <c r="EZ14" s="872"/>
      <c r="FA14" s="872"/>
      <c r="FB14" s="872"/>
      <c r="FC14" s="872"/>
      <c r="FD14" s="872"/>
      <c r="FE14" s="872"/>
      <c r="FF14" s="872"/>
      <c r="FG14" s="872"/>
      <c r="FH14" s="872"/>
      <c r="FI14" s="872"/>
      <c r="FJ14" s="872"/>
      <c r="FK14" s="872"/>
      <c r="FL14" s="872"/>
      <c r="FM14" s="872"/>
      <c r="FN14" s="872"/>
      <c r="FO14" s="872"/>
      <c r="FP14" s="872"/>
      <c r="FQ14" s="872"/>
      <c r="FR14" s="872"/>
      <c r="FS14" s="872"/>
      <c r="FT14" s="872"/>
      <c r="FU14" s="872"/>
      <c r="FV14" s="872"/>
      <c r="FW14" s="872"/>
      <c r="FX14" s="872"/>
      <c r="FY14" s="872"/>
      <c r="FZ14" s="872"/>
      <c r="GA14" s="872"/>
      <c r="GB14" s="872"/>
      <c r="GC14" s="872"/>
      <c r="GD14" s="872"/>
      <c r="GE14" s="872"/>
      <c r="GF14" s="872"/>
      <c r="GG14" s="872"/>
      <c r="GH14" s="872"/>
      <c r="GI14" s="872"/>
      <c r="GJ14" s="872"/>
      <c r="GK14" s="872"/>
      <c r="GL14" s="872"/>
      <c r="GM14" s="872"/>
      <c r="GN14" s="872"/>
      <c r="GO14" s="872"/>
      <c r="GP14" s="872"/>
      <c r="GQ14" s="872"/>
      <c r="GR14" s="872"/>
      <c r="GS14" s="872"/>
      <c r="GT14" s="872"/>
      <c r="GU14" s="872"/>
      <c r="GV14" s="872"/>
      <c r="GW14" s="872"/>
      <c r="GX14" s="872"/>
      <c r="GY14" s="872"/>
      <c r="GZ14" s="872"/>
      <c r="HA14" s="872"/>
      <c r="HB14" s="872"/>
      <c r="HC14" s="872"/>
      <c r="HD14" s="872"/>
      <c r="HE14" s="872"/>
      <c r="HF14" s="872"/>
      <c r="HG14" s="872"/>
      <c r="HH14" s="872"/>
      <c r="HI14" s="872"/>
      <c r="HJ14" s="872"/>
      <c r="HK14" s="872"/>
      <c r="HL14" s="872"/>
      <c r="HM14" s="872"/>
      <c r="HN14" s="872"/>
      <c r="HO14" s="872"/>
      <c r="HP14" s="872"/>
      <c r="HQ14" s="872"/>
      <c r="HR14" s="872"/>
      <c r="HS14" s="872"/>
      <c r="HT14" s="872"/>
      <c r="HU14" s="872"/>
      <c r="HV14" s="872"/>
      <c r="HW14" s="872"/>
      <c r="HX14" s="872"/>
      <c r="HY14" s="872"/>
      <c r="HZ14" s="872"/>
      <c r="IA14" s="872"/>
      <c r="IB14" s="872"/>
      <c r="IC14" s="872"/>
      <c r="ID14" s="872"/>
      <c r="IE14" s="872"/>
      <c r="IF14" s="872"/>
      <c r="IG14" s="872"/>
      <c r="IH14" s="872"/>
      <c r="II14" s="872"/>
      <c r="IJ14" s="872"/>
      <c r="IK14" s="872"/>
      <c r="IL14" s="872"/>
      <c r="IM14" s="872"/>
      <c r="IN14" s="872"/>
      <c r="IO14" s="872"/>
      <c r="IP14" s="872"/>
      <c r="IQ14" s="872"/>
      <c r="IR14" s="872"/>
      <c r="IS14" s="872"/>
      <c r="IT14" s="872"/>
      <c r="IU14" s="872"/>
      <c r="IV14" s="872"/>
    </row>
    <row r="15" spans="1:256" s="873" customFormat="1" ht="12.75" customHeight="1">
      <c r="A15" s="874" t="s">
        <v>51</v>
      </c>
      <c r="B15" s="870" t="s">
        <v>753</v>
      </c>
      <c r="C15" s="871">
        <v>153700078</v>
      </c>
      <c r="D15" s="871">
        <v>120000000</v>
      </c>
      <c r="E15" s="871">
        <v>120000000</v>
      </c>
      <c r="F15" s="871">
        <v>120000000</v>
      </c>
      <c r="G15" s="872"/>
      <c r="H15" s="872"/>
      <c r="I15" s="872"/>
      <c r="J15" s="872"/>
      <c r="K15" s="872"/>
      <c r="L15" s="872"/>
      <c r="M15" s="872"/>
      <c r="N15" s="872"/>
      <c r="O15" s="872"/>
      <c r="P15" s="872"/>
      <c r="Q15" s="872"/>
      <c r="R15" s="872"/>
      <c r="S15" s="872"/>
      <c r="T15" s="872"/>
      <c r="U15" s="872"/>
      <c r="V15" s="872"/>
      <c r="W15" s="872"/>
      <c r="X15" s="872"/>
      <c r="Y15" s="872"/>
      <c r="Z15" s="872"/>
      <c r="AA15" s="872"/>
      <c r="AB15" s="872"/>
      <c r="AC15" s="872"/>
      <c r="AD15" s="872"/>
      <c r="AE15" s="872"/>
      <c r="AF15" s="872"/>
      <c r="AG15" s="872"/>
      <c r="AH15" s="872"/>
      <c r="AI15" s="872"/>
      <c r="AJ15" s="872"/>
      <c r="AK15" s="872"/>
      <c r="AL15" s="872"/>
      <c r="AM15" s="872"/>
      <c r="AN15" s="872"/>
      <c r="AO15" s="872"/>
      <c r="AP15" s="872"/>
      <c r="AQ15" s="872"/>
      <c r="AR15" s="872"/>
      <c r="AS15" s="872"/>
      <c r="AT15" s="872"/>
      <c r="AU15" s="872"/>
      <c r="AV15" s="872"/>
      <c r="AW15" s="872"/>
      <c r="AX15" s="872"/>
      <c r="AY15" s="872"/>
      <c r="AZ15" s="872"/>
      <c r="BA15" s="872"/>
      <c r="BB15" s="872"/>
      <c r="BC15" s="872"/>
      <c r="BD15" s="872"/>
      <c r="BE15" s="872"/>
      <c r="BF15" s="872"/>
      <c r="BG15" s="872"/>
      <c r="BH15" s="872"/>
      <c r="BI15" s="872"/>
      <c r="BJ15" s="872"/>
      <c r="BK15" s="872"/>
      <c r="BL15" s="872"/>
      <c r="BM15" s="872"/>
      <c r="BN15" s="872"/>
      <c r="BO15" s="872"/>
      <c r="BP15" s="872"/>
      <c r="BQ15" s="872"/>
      <c r="BR15" s="872"/>
      <c r="BS15" s="872"/>
      <c r="BT15" s="872"/>
      <c r="BU15" s="872"/>
      <c r="BV15" s="872"/>
      <c r="BW15" s="872"/>
      <c r="BX15" s="872"/>
      <c r="BY15" s="872"/>
      <c r="BZ15" s="872"/>
      <c r="CA15" s="872"/>
      <c r="CB15" s="872"/>
      <c r="CC15" s="872"/>
      <c r="CD15" s="872"/>
      <c r="CE15" s="872"/>
      <c r="CF15" s="872"/>
      <c r="CG15" s="872"/>
      <c r="CH15" s="872"/>
      <c r="CI15" s="872"/>
      <c r="CJ15" s="872"/>
      <c r="CK15" s="872"/>
      <c r="CL15" s="872"/>
      <c r="CM15" s="872"/>
      <c r="CN15" s="872"/>
      <c r="CO15" s="872"/>
      <c r="CP15" s="872"/>
      <c r="CQ15" s="872"/>
      <c r="CR15" s="872"/>
      <c r="CS15" s="872"/>
      <c r="CT15" s="872"/>
      <c r="CU15" s="872"/>
      <c r="CV15" s="872"/>
      <c r="CW15" s="872"/>
      <c r="CX15" s="872"/>
      <c r="CY15" s="872"/>
      <c r="CZ15" s="872"/>
      <c r="DA15" s="872"/>
      <c r="DB15" s="872"/>
      <c r="DC15" s="872"/>
      <c r="DD15" s="872"/>
      <c r="DE15" s="872"/>
      <c r="DF15" s="872"/>
      <c r="DG15" s="872"/>
      <c r="DH15" s="872"/>
      <c r="DI15" s="872"/>
      <c r="DJ15" s="872"/>
      <c r="DK15" s="872"/>
      <c r="DL15" s="872"/>
      <c r="DM15" s="872"/>
      <c r="DN15" s="872"/>
      <c r="DO15" s="872"/>
      <c r="DP15" s="872"/>
      <c r="DQ15" s="872"/>
      <c r="DR15" s="872"/>
      <c r="DS15" s="872"/>
      <c r="DT15" s="872"/>
      <c r="DU15" s="872"/>
      <c r="DV15" s="872"/>
      <c r="DW15" s="872"/>
      <c r="DX15" s="872"/>
      <c r="DY15" s="872"/>
      <c r="DZ15" s="872"/>
      <c r="EA15" s="872"/>
      <c r="EB15" s="872"/>
      <c r="EC15" s="872"/>
      <c r="ED15" s="872"/>
      <c r="EE15" s="872"/>
      <c r="EF15" s="872"/>
      <c r="EG15" s="872"/>
      <c r="EH15" s="872"/>
      <c r="EI15" s="872"/>
      <c r="EJ15" s="872"/>
      <c r="EK15" s="872"/>
      <c r="EL15" s="872"/>
      <c r="EM15" s="872"/>
      <c r="EN15" s="872"/>
      <c r="EO15" s="872"/>
      <c r="EP15" s="872"/>
      <c r="EQ15" s="872"/>
      <c r="ER15" s="872"/>
      <c r="ES15" s="872"/>
      <c r="ET15" s="872"/>
      <c r="EU15" s="872"/>
      <c r="EV15" s="872"/>
      <c r="EW15" s="872"/>
      <c r="EX15" s="872"/>
      <c r="EY15" s="872"/>
      <c r="EZ15" s="872"/>
      <c r="FA15" s="872"/>
      <c r="FB15" s="872"/>
      <c r="FC15" s="872"/>
      <c r="FD15" s="872"/>
      <c r="FE15" s="872"/>
      <c r="FF15" s="872"/>
      <c r="FG15" s="872"/>
      <c r="FH15" s="872"/>
      <c r="FI15" s="872"/>
      <c r="FJ15" s="872"/>
      <c r="FK15" s="872"/>
      <c r="FL15" s="872"/>
      <c r="FM15" s="872"/>
      <c r="FN15" s="872"/>
      <c r="FO15" s="872"/>
      <c r="FP15" s="872"/>
      <c r="FQ15" s="872"/>
      <c r="FR15" s="872"/>
      <c r="FS15" s="872"/>
      <c r="FT15" s="872"/>
      <c r="FU15" s="872"/>
      <c r="FV15" s="872"/>
      <c r="FW15" s="872"/>
      <c r="FX15" s="872"/>
      <c r="FY15" s="872"/>
      <c r="FZ15" s="872"/>
      <c r="GA15" s="872"/>
      <c r="GB15" s="872"/>
      <c r="GC15" s="872"/>
      <c r="GD15" s="872"/>
      <c r="GE15" s="872"/>
      <c r="GF15" s="872"/>
      <c r="GG15" s="872"/>
      <c r="GH15" s="872"/>
      <c r="GI15" s="872"/>
      <c r="GJ15" s="872"/>
      <c r="GK15" s="872"/>
      <c r="GL15" s="872"/>
      <c r="GM15" s="872"/>
      <c r="GN15" s="872"/>
      <c r="GO15" s="872"/>
      <c r="GP15" s="872"/>
      <c r="GQ15" s="872"/>
      <c r="GR15" s="872"/>
      <c r="GS15" s="872"/>
      <c r="GT15" s="872"/>
      <c r="GU15" s="872"/>
      <c r="GV15" s="872"/>
      <c r="GW15" s="872"/>
      <c r="GX15" s="872"/>
      <c r="GY15" s="872"/>
      <c r="GZ15" s="872"/>
      <c r="HA15" s="872"/>
      <c r="HB15" s="872"/>
      <c r="HC15" s="872"/>
      <c r="HD15" s="872"/>
      <c r="HE15" s="872"/>
      <c r="HF15" s="872"/>
      <c r="HG15" s="872"/>
      <c r="HH15" s="872"/>
      <c r="HI15" s="872"/>
      <c r="HJ15" s="872"/>
      <c r="HK15" s="872"/>
      <c r="HL15" s="872"/>
      <c r="HM15" s="872"/>
      <c r="HN15" s="872"/>
      <c r="HO15" s="872"/>
      <c r="HP15" s="872"/>
      <c r="HQ15" s="872"/>
      <c r="HR15" s="872"/>
      <c r="HS15" s="872"/>
      <c r="HT15" s="872"/>
      <c r="HU15" s="872"/>
      <c r="HV15" s="872"/>
      <c r="HW15" s="872"/>
      <c r="HX15" s="872"/>
      <c r="HY15" s="872"/>
      <c r="HZ15" s="872"/>
      <c r="IA15" s="872"/>
      <c r="IB15" s="872"/>
      <c r="IC15" s="872"/>
      <c r="ID15" s="872"/>
      <c r="IE15" s="872"/>
      <c r="IF15" s="872"/>
      <c r="IG15" s="872"/>
      <c r="IH15" s="872"/>
      <c r="II15" s="872"/>
      <c r="IJ15" s="872"/>
      <c r="IK15" s="872"/>
      <c r="IL15" s="872"/>
      <c r="IM15" s="872"/>
      <c r="IN15" s="872"/>
      <c r="IO15" s="872"/>
      <c r="IP15" s="872"/>
      <c r="IQ15" s="872"/>
      <c r="IR15" s="872"/>
      <c r="IS15" s="872"/>
      <c r="IT15" s="872"/>
      <c r="IU15" s="872"/>
      <c r="IV15" s="872"/>
    </row>
    <row r="16" spans="1:256" s="873" customFormat="1" ht="12.75" customHeight="1">
      <c r="A16" s="869" t="s">
        <v>53</v>
      </c>
      <c r="B16" s="870" t="s">
        <v>658</v>
      </c>
      <c r="C16" s="871">
        <v>10051757</v>
      </c>
      <c r="D16" s="871">
        <v>8000000</v>
      </c>
      <c r="E16" s="871">
        <v>8000000</v>
      </c>
      <c r="F16" s="871">
        <v>8000000</v>
      </c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2"/>
      <c r="AC16" s="872"/>
      <c r="AD16" s="872"/>
      <c r="AE16" s="872"/>
      <c r="AF16" s="872"/>
      <c r="AG16" s="872"/>
      <c r="AH16" s="872"/>
      <c r="AI16" s="872"/>
      <c r="AJ16" s="872"/>
      <c r="AK16" s="872"/>
      <c r="AL16" s="872"/>
      <c r="AM16" s="872"/>
      <c r="AN16" s="872"/>
      <c r="AO16" s="872"/>
      <c r="AP16" s="872"/>
      <c r="AQ16" s="872"/>
      <c r="AR16" s="872"/>
      <c r="AS16" s="872"/>
      <c r="AT16" s="872"/>
      <c r="AU16" s="872"/>
      <c r="AV16" s="872"/>
      <c r="AW16" s="872"/>
      <c r="AX16" s="872"/>
      <c r="AY16" s="872"/>
      <c r="AZ16" s="872"/>
      <c r="BA16" s="872"/>
      <c r="BB16" s="872"/>
      <c r="BC16" s="872"/>
      <c r="BD16" s="872"/>
      <c r="BE16" s="872"/>
      <c r="BF16" s="872"/>
      <c r="BG16" s="872"/>
      <c r="BH16" s="872"/>
      <c r="BI16" s="872"/>
      <c r="BJ16" s="872"/>
      <c r="BK16" s="872"/>
      <c r="BL16" s="872"/>
      <c r="BM16" s="872"/>
      <c r="BN16" s="872"/>
      <c r="BO16" s="872"/>
      <c r="BP16" s="872"/>
      <c r="BQ16" s="872"/>
      <c r="BR16" s="872"/>
      <c r="BS16" s="872"/>
      <c r="BT16" s="872"/>
      <c r="BU16" s="872"/>
      <c r="BV16" s="872"/>
      <c r="BW16" s="872"/>
      <c r="BX16" s="872"/>
      <c r="BY16" s="872"/>
      <c r="BZ16" s="872"/>
      <c r="CA16" s="872"/>
      <c r="CB16" s="872"/>
      <c r="CC16" s="872"/>
      <c r="CD16" s="872"/>
      <c r="CE16" s="872"/>
      <c r="CF16" s="872"/>
      <c r="CG16" s="872"/>
      <c r="CH16" s="872"/>
      <c r="CI16" s="872"/>
      <c r="CJ16" s="872"/>
      <c r="CK16" s="872"/>
      <c r="CL16" s="872"/>
      <c r="CM16" s="872"/>
      <c r="CN16" s="872"/>
      <c r="CO16" s="872"/>
      <c r="CP16" s="872"/>
      <c r="CQ16" s="872"/>
      <c r="CR16" s="872"/>
      <c r="CS16" s="872"/>
      <c r="CT16" s="872"/>
      <c r="CU16" s="872"/>
      <c r="CV16" s="872"/>
      <c r="CW16" s="872"/>
      <c r="CX16" s="872"/>
      <c r="CY16" s="872"/>
      <c r="CZ16" s="872"/>
      <c r="DA16" s="872"/>
      <c r="DB16" s="872"/>
      <c r="DC16" s="872"/>
      <c r="DD16" s="872"/>
      <c r="DE16" s="872"/>
      <c r="DF16" s="872"/>
      <c r="DG16" s="872"/>
      <c r="DH16" s="872"/>
      <c r="DI16" s="872"/>
      <c r="DJ16" s="872"/>
      <c r="DK16" s="872"/>
      <c r="DL16" s="872"/>
      <c r="DM16" s="872"/>
      <c r="DN16" s="872"/>
      <c r="DO16" s="872"/>
      <c r="DP16" s="872"/>
      <c r="DQ16" s="872"/>
      <c r="DR16" s="872"/>
      <c r="DS16" s="872"/>
      <c r="DT16" s="872"/>
      <c r="DU16" s="872"/>
      <c r="DV16" s="872"/>
      <c r="DW16" s="872"/>
      <c r="DX16" s="872"/>
      <c r="DY16" s="872"/>
      <c r="DZ16" s="872"/>
      <c r="EA16" s="872"/>
      <c r="EB16" s="872"/>
      <c r="EC16" s="872"/>
      <c r="ED16" s="872"/>
      <c r="EE16" s="872"/>
      <c r="EF16" s="872"/>
      <c r="EG16" s="872"/>
      <c r="EH16" s="872"/>
      <c r="EI16" s="872"/>
      <c r="EJ16" s="872"/>
      <c r="EK16" s="872"/>
      <c r="EL16" s="872"/>
      <c r="EM16" s="872"/>
      <c r="EN16" s="872"/>
      <c r="EO16" s="872"/>
      <c r="EP16" s="872"/>
      <c r="EQ16" s="872"/>
      <c r="ER16" s="872"/>
      <c r="ES16" s="872"/>
      <c r="ET16" s="872"/>
      <c r="EU16" s="872"/>
      <c r="EV16" s="872"/>
      <c r="EW16" s="872"/>
      <c r="EX16" s="872"/>
      <c r="EY16" s="872"/>
      <c r="EZ16" s="872"/>
      <c r="FA16" s="872"/>
      <c r="FB16" s="872"/>
      <c r="FC16" s="872"/>
      <c r="FD16" s="872"/>
      <c r="FE16" s="872"/>
      <c r="FF16" s="872"/>
      <c r="FG16" s="872"/>
      <c r="FH16" s="872"/>
      <c r="FI16" s="872"/>
      <c r="FJ16" s="872"/>
      <c r="FK16" s="872"/>
      <c r="FL16" s="872"/>
      <c r="FM16" s="872"/>
      <c r="FN16" s="872"/>
      <c r="FO16" s="872"/>
      <c r="FP16" s="872"/>
      <c r="FQ16" s="872"/>
      <c r="FR16" s="872"/>
      <c r="FS16" s="872"/>
      <c r="FT16" s="872"/>
      <c r="FU16" s="872"/>
      <c r="FV16" s="872"/>
      <c r="FW16" s="872"/>
      <c r="FX16" s="872"/>
      <c r="FY16" s="872"/>
      <c r="FZ16" s="872"/>
      <c r="GA16" s="872"/>
      <c r="GB16" s="872"/>
      <c r="GC16" s="872"/>
      <c r="GD16" s="872"/>
      <c r="GE16" s="872"/>
      <c r="GF16" s="872"/>
      <c r="GG16" s="872"/>
      <c r="GH16" s="872"/>
      <c r="GI16" s="872"/>
      <c r="GJ16" s="872"/>
      <c r="GK16" s="872"/>
      <c r="GL16" s="872"/>
      <c r="GM16" s="872"/>
      <c r="GN16" s="872"/>
      <c r="GO16" s="872"/>
      <c r="GP16" s="872"/>
      <c r="GQ16" s="872"/>
      <c r="GR16" s="872"/>
      <c r="GS16" s="872"/>
      <c r="GT16" s="872"/>
      <c r="GU16" s="872"/>
      <c r="GV16" s="872"/>
      <c r="GW16" s="872"/>
      <c r="GX16" s="872"/>
      <c r="GY16" s="872"/>
      <c r="GZ16" s="872"/>
      <c r="HA16" s="872"/>
      <c r="HB16" s="872"/>
      <c r="HC16" s="872"/>
      <c r="HD16" s="872"/>
      <c r="HE16" s="872"/>
      <c r="HF16" s="872"/>
      <c r="HG16" s="872"/>
      <c r="HH16" s="872"/>
      <c r="HI16" s="872"/>
      <c r="HJ16" s="872"/>
      <c r="HK16" s="872"/>
      <c r="HL16" s="872"/>
      <c r="HM16" s="872"/>
      <c r="HN16" s="872"/>
      <c r="HO16" s="872"/>
      <c r="HP16" s="872"/>
      <c r="HQ16" s="872"/>
      <c r="HR16" s="872"/>
      <c r="HS16" s="872"/>
      <c r="HT16" s="872"/>
      <c r="HU16" s="872"/>
      <c r="HV16" s="872"/>
      <c r="HW16" s="872"/>
      <c r="HX16" s="872"/>
      <c r="HY16" s="872"/>
      <c r="HZ16" s="872"/>
      <c r="IA16" s="872"/>
      <c r="IB16" s="872"/>
      <c r="IC16" s="872"/>
      <c r="ID16" s="872"/>
      <c r="IE16" s="872"/>
      <c r="IF16" s="872"/>
      <c r="IG16" s="872"/>
      <c r="IH16" s="872"/>
      <c r="II16" s="872"/>
      <c r="IJ16" s="872"/>
      <c r="IK16" s="872"/>
      <c r="IL16" s="872"/>
      <c r="IM16" s="872"/>
      <c r="IN16" s="872"/>
      <c r="IO16" s="872"/>
      <c r="IP16" s="872"/>
      <c r="IQ16" s="872"/>
      <c r="IR16" s="872"/>
      <c r="IS16" s="872"/>
      <c r="IT16" s="872"/>
      <c r="IU16" s="872"/>
      <c r="IV16" s="872"/>
    </row>
    <row r="17" spans="1:256" s="873" customFormat="1" ht="12.75" customHeight="1">
      <c r="A17" s="874" t="s">
        <v>55</v>
      </c>
      <c r="B17" s="870" t="s">
        <v>96</v>
      </c>
      <c r="C17" s="871">
        <v>0</v>
      </c>
      <c r="D17" s="871">
        <v>315000</v>
      </c>
      <c r="E17" s="871">
        <v>315000</v>
      </c>
      <c r="F17" s="871">
        <v>315000</v>
      </c>
      <c r="G17" s="872"/>
      <c r="H17" s="872"/>
      <c r="I17" s="872"/>
      <c r="J17" s="872"/>
      <c r="K17" s="872"/>
      <c r="L17" s="872"/>
      <c r="M17" s="872"/>
      <c r="N17" s="872"/>
      <c r="O17" s="872"/>
      <c r="P17" s="872"/>
      <c r="Q17" s="872"/>
      <c r="R17" s="872"/>
      <c r="S17" s="872"/>
      <c r="T17" s="872"/>
      <c r="U17" s="872"/>
      <c r="V17" s="872"/>
      <c r="W17" s="872"/>
      <c r="X17" s="872"/>
      <c r="Y17" s="872"/>
      <c r="Z17" s="872"/>
      <c r="AA17" s="872"/>
      <c r="AB17" s="872"/>
      <c r="AC17" s="872"/>
      <c r="AD17" s="872"/>
      <c r="AE17" s="872"/>
      <c r="AF17" s="872"/>
      <c r="AG17" s="872"/>
      <c r="AH17" s="872"/>
      <c r="AI17" s="872"/>
      <c r="AJ17" s="872"/>
      <c r="AK17" s="872"/>
      <c r="AL17" s="872"/>
      <c r="AM17" s="872"/>
      <c r="AN17" s="872"/>
      <c r="AO17" s="872"/>
      <c r="AP17" s="872"/>
      <c r="AQ17" s="872"/>
      <c r="AR17" s="872"/>
      <c r="AS17" s="872"/>
      <c r="AT17" s="872"/>
      <c r="AU17" s="872"/>
      <c r="AV17" s="872"/>
      <c r="AW17" s="872"/>
      <c r="AX17" s="872"/>
      <c r="AY17" s="872"/>
      <c r="AZ17" s="872"/>
      <c r="BA17" s="872"/>
      <c r="BB17" s="872"/>
      <c r="BC17" s="872"/>
      <c r="BD17" s="872"/>
      <c r="BE17" s="872"/>
      <c r="BF17" s="872"/>
      <c r="BG17" s="872"/>
      <c r="BH17" s="872"/>
      <c r="BI17" s="872"/>
      <c r="BJ17" s="872"/>
      <c r="BK17" s="872"/>
      <c r="BL17" s="872"/>
      <c r="BM17" s="872"/>
      <c r="BN17" s="872"/>
      <c r="BO17" s="872"/>
      <c r="BP17" s="872"/>
      <c r="BQ17" s="872"/>
      <c r="BR17" s="872"/>
      <c r="BS17" s="872"/>
      <c r="BT17" s="872"/>
      <c r="BU17" s="872"/>
      <c r="BV17" s="872"/>
      <c r="BW17" s="872"/>
      <c r="BX17" s="872"/>
      <c r="BY17" s="872"/>
      <c r="BZ17" s="872"/>
      <c r="CA17" s="872"/>
      <c r="CB17" s="872"/>
      <c r="CC17" s="872"/>
      <c r="CD17" s="872"/>
      <c r="CE17" s="872"/>
      <c r="CF17" s="872"/>
      <c r="CG17" s="872"/>
      <c r="CH17" s="872"/>
      <c r="CI17" s="872"/>
      <c r="CJ17" s="872"/>
      <c r="CK17" s="872"/>
      <c r="CL17" s="872"/>
      <c r="CM17" s="872"/>
      <c r="CN17" s="872"/>
      <c r="CO17" s="872"/>
      <c r="CP17" s="872"/>
      <c r="CQ17" s="872"/>
      <c r="CR17" s="872"/>
      <c r="CS17" s="872"/>
      <c r="CT17" s="872"/>
      <c r="CU17" s="872"/>
      <c r="CV17" s="872"/>
      <c r="CW17" s="872"/>
      <c r="CX17" s="872"/>
      <c r="CY17" s="872"/>
      <c r="CZ17" s="872"/>
      <c r="DA17" s="872"/>
      <c r="DB17" s="872"/>
      <c r="DC17" s="872"/>
      <c r="DD17" s="872"/>
      <c r="DE17" s="872"/>
      <c r="DF17" s="872"/>
      <c r="DG17" s="872"/>
      <c r="DH17" s="872"/>
      <c r="DI17" s="872"/>
      <c r="DJ17" s="872"/>
      <c r="DK17" s="872"/>
      <c r="DL17" s="872"/>
      <c r="DM17" s="872"/>
      <c r="DN17" s="872"/>
      <c r="DO17" s="872"/>
      <c r="DP17" s="872"/>
      <c r="DQ17" s="872"/>
      <c r="DR17" s="872"/>
      <c r="DS17" s="872"/>
      <c r="DT17" s="872"/>
      <c r="DU17" s="872"/>
      <c r="DV17" s="872"/>
      <c r="DW17" s="872"/>
      <c r="DX17" s="872"/>
      <c r="DY17" s="872"/>
      <c r="DZ17" s="872"/>
      <c r="EA17" s="872"/>
      <c r="EB17" s="872"/>
      <c r="EC17" s="872"/>
      <c r="ED17" s="872"/>
      <c r="EE17" s="872"/>
      <c r="EF17" s="872"/>
      <c r="EG17" s="872"/>
      <c r="EH17" s="872"/>
      <c r="EI17" s="872"/>
      <c r="EJ17" s="872"/>
      <c r="EK17" s="872"/>
      <c r="EL17" s="872"/>
      <c r="EM17" s="872"/>
      <c r="EN17" s="872"/>
      <c r="EO17" s="872"/>
      <c r="EP17" s="872"/>
      <c r="EQ17" s="872"/>
      <c r="ER17" s="872"/>
      <c r="ES17" s="872"/>
      <c r="ET17" s="872"/>
      <c r="EU17" s="872"/>
      <c r="EV17" s="872"/>
      <c r="EW17" s="872"/>
      <c r="EX17" s="872"/>
      <c r="EY17" s="872"/>
      <c r="EZ17" s="872"/>
      <c r="FA17" s="872"/>
      <c r="FB17" s="872"/>
      <c r="FC17" s="872"/>
      <c r="FD17" s="872"/>
      <c r="FE17" s="872"/>
      <c r="FF17" s="872"/>
      <c r="FG17" s="872"/>
      <c r="FH17" s="872"/>
      <c r="FI17" s="872"/>
      <c r="FJ17" s="872"/>
      <c r="FK17" s="872"/>
      <c r="FL17" s="872"/>
      <c r="FM17" s="872"/>
      <c r="FN17" s="872"/>
      <c r="FO17" s="872"/>
      <c r="FP17" s="872"/>
      <c r="FQ17" s="872"/>
      <c r="FR17" s="872"/>
      <c r="FS17" s="872"/>
      <c r="FT17" s="872"/>
      <c r="FU17" s="872"/>
      <c r="FV17" s="872"/>
      <c r="FW17" s="872"/>
      <c r="FX17" s="872"/>
      <c r="FY17" s="872"/>
      <c r="FZ17" s="872"/>
      <c r="GA17" s="872"/>
      <c r="GB17" s="872"/>
      <c r="GC17" s="872"/>
      <c r="GD17" s="872"/>
      <c r="GE17" s="872"/>
      <c r="GF17" s="872"/>
      <c r="GG17" s="872"/>
      <c r="GH17" s="872"/>
      <c r="GI17" s="872"/>
      <c r="GJ17" s="872"/>
      <c r="GK17" s="872"/>
      <c r="GL17" s="872"/>
      <c r="GM17" s="872"/>
      <c r="GN17" s="872"/>
      <c r="GO17" s="872"/>
      <c r="GP17" s="872"/>
      <c r="GQ17" s="872"/>
      <c r="GR17" s="872"/>
      <c r="GS17" s="872"/>
      <c r="GT17" s="872"/>
      <c r="GU17" s="872"/>
      <c r="GV17" s="872"/>
      <c r="GW17" s="872"/>
      <c r="GX17" s="872"/>
      <c r="GY17" s="872"/>
      <c r="GZ17" s="872"/>
      <c r="HA17" s="872"/>
      <c r="HB17" s="872"/>
      <c r="HC17" s="872"/>
      <c r="HD17" s="872"/>
      <c r="HE17" s="872"/>
      <c r="HF17" s="872"/>
      <c r="HG17" s="872"/>
      <c r="HH17" s="872"/>
      <c r="HI17" s="872"/>
      <c r="HJ17" s="872"/>
      <c r="HK17" s="872"/>
      <c r="HL17" s="872"/>
      <c r="HM17" s="872"/>
      <c r="HN17" s="872"/>
      <c r="HO17" s="872"/>
      <c r="HP17" s="872"/>
      <c r="HQ17" s="872"/>
      <c r="HR17" s="872"/>
      <c r="HS17" s="872"/>
      <c r="HT17" s="872"/>
      <c r="HU17" s="872"/>
      <c r="HV17" s="872"/>
      <c r="HW17" s="872"/>
      <c r="HX17" s="872"/>
      <c r="HY17" s="872"/>
      <c r="HZ17" s="872"/>
      <c r="IA17" s="872"/>
      <c r="IB17" s="872"/>
      <c r="IC17" s="872"/>
      <c r="ID17" s="872"/>
      <c r="IE17" s="872"/>
      <c r="IF17" s="872"/>
      <c r="IG17" s="872"/>
      <c r="IH17" s="872"/>
      <c r="II17" s="872"/>
      <c r="IJ17" s="872"/>
      <c r="IK17" s="872"/>
      <c r="IL17" s="872"/>
      <c r="IM17" s="872"/>
      <c r="IN17" s="872"/>
      <c r="IO17" s="872"/>
      <c r="IP17" s="872"/>
      <c r="IQ17" s="872"/>
      <c r="IR17" s="872"/>
      <c r="IS17" s="872"/>
      <c r="IT17" s="872"/>
      <c r="IU17" s="872"/>
      <c r="IV17" s="872"/>
    </row>
    <row r="18" spans="1:256" s="873" customFormat="1" ht="12.75" customHeight="1">
      <c r="A18" s="869" t="s">
        <v>57</v>
      </c>
      <c r="B18" s="870" t="s">
        <v>175</v>
      </c>
      <c r="C18" s="871">
        <v>608170</v>
      </c>
      <c r="D18" s="871">
        <v>1000000</v>
      </c>
      <c r="E18" s="871">
        <v>1000000</v>
      </c>
      <c r="F18" s="871">
        <v>1000000</v>
      </c>
      <c r="G18" s="872"/>
      <c r="H18" s="872"/>
      <c r="I18" s="872"/>
      <c r="J18" s="872"/>
      <c r="K18" s="872"/>
      <c r="L18" s="872"/>
      <c r="M18" s="872"/>
      <c r="N18" s="872"/>
      <c r="O18" s="872"/>
      <c r="P18" s="872"/>
      <c r="Q18" s="872"/>
      <c r="R18" s="872"/>
      <c r="S18" s="872"/>
      <c r="T18" s="872"/>
      <c r="U18" s="872"/>
      <c r="V18" s="872"/>
      <c r="W18" s="872"/>
      <c r="X18" s="872"/>
      <c r="Y18" s="872"/>
      <c r="Z18" s="872"/>
      <c r="AA18" s="872"/>
      <c r="AB18" s="872"/>
      <c r="AC18" s="872"/>
      <c r="AD18" s="872"/>
      <c r="AE18" s="872"/>
      <c r="AF18" s="872"/>
      <c r="AG18" s="872"/>
      <c r="AH18" s="872"/>
      <c r="AI18" s="872"/>
      <c r="AJ18" s="872"/>
      <c r="AK18" s="872"/>
      <c r="AL18" s="872"/>
      <c r="AM18" s="872"/>
      <c r="AN18" s="872"/>
      <c r="AO18" s="872"/>
      <c r="AP18" s="872"/>
      <c r="AQ18" s="872"/>
      <c r="AR18" s="872"/>
      <c r="AS18" s="872"/>
      <c r="AT18" s="872"/>
      <c r="AU18" s="872"/>
      <c r="AV18" s="872"/>
      <c r="AW18" s="872"/>
      <c r="AX18" s="872"/>
      <c r="AY18" s="872"/>
      <c r="AZ18" s="872"/>
      <c r="BA18" s="872"/>
      <c r="BB18" s="872"/>
      <c r="BC18" s="872"/>
      <c r="BD18" s="872"/>
      <c r="BE18" s="872"/>
      <c r="BF18" s="872"/>
      <c r="BG18" s="872"/>
      <c r="BH18" s="872"/>
      <c r="BI18" s="872"/>
      <c r="BJ18" s="872"/>
      <c r="BK18" s="872"/>
      <c r="BL18" s="872"/>
      <c r="BM18" s="872"/>
      <c r="BN18" s="872"/>
      <c r="BO18" s="872"/>
      <c r="BP18" s="872"/>
      <c r="BQ18" s="872"/>
      <c r="BR18" s="872"/>
      <c r="BS18" s="872"/>
      <c r="BT18" s="872"/>
      <c r="BU18" s="872"/>
      <c r="BV18" s="872"/>
      <c r="BW18" s="872"/>
      <c r="BX18" s="872"/>
      <c r="BY18" s="872"/>
      <c r="BZ18" s="872"/>
      <c r="CA18" s="872"/>
      <c r="CB18" s="872"/>
      <c r="CC18" s="872"/>
      <c r="CD18" s="872"/>
      <c r="CE18" s="872"/>
      <c r="CF18" s="872"/>
      <c r="CG18" s="872"/>
      <c r="CH18" s="872"/>
      <c r="CI18" s="872"/>
      <c r="CJ18" s="872"/>
      <c r="CK18" s="872"/>
      <c r="CL18" s="872"/>
      <c r="CM18" s="872"/>
      <c r="CN18" s="872"/>
      <c r="CO18" s="872"/>
      <c r="CP18" s="872"/>
      <c r="CQ18" s="872"/>
      <c r="CR18" s="872"/>
      <c r="CS18" s="872"/>
      <c r="CT18" s="872"/>
      <c r="CU18" s="872"/>
      <c r="CV18" s="872"/>
      <c r="CW18" s="872"/>
      <c r="CX18" s="872"/>
      <c r="CY18" s="872"/>
      <c r="CZ18" s="872"/>
      <c r="DA18" s="872"/>
      <c r="DB18" s="872"/>
      <c r="DC18" s="872"/>
      <c r="DD18" s="872"/>
      <c r="DE18" s="872"/>
      <c r="DF18" s="872"/>
      <c r="DG18" s="872"/>
      <c r="DH18" s="872"/>
      <c r="DI18" s="872"/>
      <c r="DJ18" s="872"/>
      <c r="DK18" s="872"/>
      <c r="DL18" s="872"/>
      <c r="DM18" s="872"/>
      <c r="DN18" s="872"/>
      <c r="DO18" s="872"/>
      <c r="DP18" s="872"/>
      <c r="DQ18" s="872"/>
      <c r="DR18" s="872"/>
      <c r="DS18" s="872"/>
      <c r="DT18" s="872"/>
      <c r="DU18" s="872"/>
      <c r="DV18" s="872"/>
      <c r="DW18" s="872"/>
      <c r="DX18" s="872"/>
      <c r="DY18" s="872"/>
      <c r="DZ18" s="872"/>
      <c r="EA18" s="872"/>
      <c r="EB18" s="872"/>
      <c r="EC18" s="872"/>
      <c r="ED18" s="872"/>
      <c r="EE18" s="872"/>
      <c r="EF18" s="872"/>
      <c r="EG18" s="872"/>
      <c r="EH18" s="872"/>
      <c r="EI18" s="872"/>
      <c r="EJ18" s="872"/>
      <c r="EK18" s="872"/>
      <c r="EL18" s="872"/>
      <c r="EM18" s="872"/>
      <c r="EN18" s="872"/>
      <c r="EO18" s="872"/>
      <c r="EP18" s="872"/>
      <c r="EQ18" s="872"/>
      <c r="ER18" s="872"/>
      <c r="ES18" s="872"/>
      <c r="ET18" s="872"/>
      <c r="EU18" s="872"/>
      <c r="EV18" s="872"/>
      <c r="EW18" s="872"/>
      <c r="EX18" s="872"/>
      <c r="EY18" s="872"/>
      <c r="EZ18" s="872"/>
      <c r="FA18" s="872"/>
      <c r="FB18" s="872"/>
      <c r="FC18" s="872"/>
      <c r="FD18" s="872"/>
      <c r="FE18" s="872"/>
      <c r="FF18" s="872"/>
      <c r="FG18" s="872"/>
      <c r="FH18" s="872"/>
      <c r="FI18" s="872"/>
      <c r="FJ18" s="872"/>
      <c r="FK18" s="872"/>
      <c r="FL18" s="872"/>
      <c r="FM18" s="872"/>
      <c r="FN18" s="872"/>
      <c r="FO18" s="872"/>
      <c r="FP18" s="872"/>
      <c r="FQ18" s="872"/>
      <c r="FR18" s="872"/>
      <c r="FS18" s="872"/>
      <c r="FT18" s="872"/>
      <c r="FU18" s="872"/>
      <c r="FV18" s="872"/>
      <c r="FW18" s="872"/>
      <c r="FX18" s="872"/>
      <c r="FY18" s="872"/>
      <c r="FZ18" s="872"/>
      <c r="GA18" s="872"/>
      <c r="GB18" s="872"/>
      <c r="GC18" s="872"/>
      <c r="GD18" s="872"/>
      <c r="GE18" s="872"/>
      <c r="GF18" s="872"/>
      <c r="GG18" s="872"/>
      <c r="GH18" s="872"/>
      <c r="GI18" s="872"/>
      <c r="GJ18" s="872"/>
      <c r="GK18" s="872"/>
      <c r="GL18" s="872"/>
      <c r="GM18" s="872"/>
      <c r="GN18" s="872"/>
      <c r="GO18" s="872"/>
      <c r="GP18" s="872"/>
      <c r="GQ18" s="872"/>
      <c r="GR18" s="872"/>
      <c r="GS18" s="872"/>
      <c r="GT18" s="872"/>
      <c r="GU18" s="872"/>
      <c r="GV18" s="872"/>
      <c r="GW18" s="872"/>
      <c r="GX18" s="872"/>
      <c r="GY18" s="872"/>
      <c r="GZ18" s="872"/>
      <c r="HA18" s="872"/>
      <c r="HB18" s="872"/>
      <c r="HC18" s="872"/>
      <c r="HD18" s="872"/>
      <c r="HE18" s="872"/>
      <c r="HF18" s="872"/>
      <c r="HG18" s="872"/>
      <c r="HH18" s="872"/>
      <c r="HI18" s="872"/>
      <c r="HJ18" s="872"/>
      <c r="HK18" s="872"/>
      <c r="HL18" s="872"/>
      <c r="HM18" s="872"/>
      <c r="HN18" s="872"/>
      <c r="HO18" s="872"/>
      <c r="HP18" s="872"/>
      <c r="HQ18" s="872"/>
      <c r="HR18" s="872"/>
      <c r="HS18" s="872"/>
      <c r="HT18" s="872"/>
      <c r="HU18" s="872"/>
      <c r="HV18" s="872"/>
      <c r="HW18" s="872"/>
      <c r="HX18" s="872"/>
      <c r="HY18" s="872"/>
      <c r="HZ18" s="872"/>
      <c r="IA18" s="872"/>
      <c r="IB18" s="872"/>
      <c r="IC18" s="872"/>
      <c r="ID18" s="872"/>
      <c r="IE18" s="872"/>
      <c r="IF18" s="872"/>
      <c r="IG18" s="872"/>
      <c r="IH18" s="872"/>
      <c r="II18" s="872"/>
      <c r="IJ18" s="872"/>
      <c r="IK18" s="872"/>
      <c r="IL18" s="872"/>
      <c r="IM18" s="872"/>
      <c r="IN18" s="872"/>
      <c r="IO18" s="872"/>
      <c r="IP18" s="872"/>
      <c r="IQ18" s="872"/>
      <c r="IR18" s="872"/>
      <c r="IS18" s="872"/>
      <c r="IT18" s="872"/>
      <c r="IU18" s="872"/>
      <c r="IV18" s="872"/>
    </row>
    <row r="19" spans="1:256" s="78" customFormat="1" ht="12.75" customHeight="1">
      <c r="A19" s="272" t="s">
        <v>86</v>
      </c>
      <c r="B19" s="276" t="s">
        <v>78</v>
      </c>
      <c r="C19" s="273">
        <f>SUM(C20:C26)</f>
        <v>43507352</v>
      </c>
      <c r="D19" s="273">
        <f>SUM(D20:D26)</f>
        <v>40700000</v>
      </c>
      <c r="E19" s="273">
        <f>SUM(E20:E26)</f>
        <v>40700000</v>
      </c>
      <c r="F19" s="273">
        <f>SUM(F20:F26)</f>
        <v>40700000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873" customFormat="1" ht="12.75" customHeight="1">
      <c r="A20" s="869" t="s">
        <v>59</v>
      </c>
      <c r="B20" s="875" t="s">
        <v>760</v>
      </c>
      <c r="C20" s="871">
        <v>5995252</v>
      </c>
      <c r="D20" s="871">
        <v>7000000</v>
      </c>
      <c r="E20" s="871">
        <v>7000000</v>
      </c>
      <c r="F20" s="871">
        <v>7000000</v>
      </c>
      <c r="G20" s="872"/>
      <c r="H20" s="872"/>
      <c r="I20" s="872"/>
      <c r="J20" s="872"/>
      <c r="K20" s="872"/>
      <c r="L20" s="872"/>
      <c r="M20" s="872"/>
      <c r="N20" s="872"/>
      <c r="O20" s="872"/>
      <c r="P20" s="872"/>
      <c r="Q20" s="872"/>
      <c r="R20" s="872"/>
      <c r="S20" s="872"/>
      <c r="T20" s="872"/>
      <c r="U20" s="872"/>
      <c r="V20" s="872"/>
      <c r="W20" s="872"/>
      <c r="X20" s="872"/>
      <c r="Y20" s="872"/>
      <c r="Z20" s="872"/>
      <c r="AA20" s="872"/>
      <c r="AB20" s="872"/>
      <c r="AC20" s="872"/>
      <c r="AD20" s="872"/>
      <c r="AE20" s="872"/>
      <c r="AF20" s="872"/>
      <c r="AG20" s="872"/>
      <c r="AH20" s="872"/>
      <c r="AI20" s="872"/>
      <c r="AJ20" s="872"/>
      <c r="AK20" s="872"/>
      <c r="AL20" s="872"/>
      <c r="AM20" s="872"/>
      <c r="AN20" s="872"/>
      <c r="AO20" s="872"/>
      <c r="AP20" s="872"/>
      <c r="AQ20" s="872"/>
      <c r="AR20" s="872"/>
      <c r="AS20" s="872"/>
      <c r="AT20" s="872"/>
      <c r="AU20" s="872"/>
      <c r="AV20" s="872"/>
      <c r="AW20" s="872"/>
      <c r="AX20" s="872"/>
      <c r="AY20" s="872"/>
      <c r="AZ20" s="872"/>
      <c r="BA20" s="872"/>
      <c r="BB20" s="872"/>
      <c r="BC20" s="872"/>
      <c r="BD20" s="872"/>
      <c r="BE20" s="872"/>
      <c r="BF20" s="872"/>
      <c r="BG20" s="872"/>
      <c r="BH20" s="872"/>
      <c r="BI20" s="872"/>
      <c r="BJ20" s="872"/>
      <c r="BK20" s="872"/>
      <c r="BL20" s="872"/>
      <c r="BM20" s="872"/>
      <c r="BN20" s="872"/>
      <c r="BO20" s="872"/>
      <c r="BP20" s="872"/>
      <c r="BQ20" s="872"/>
      <c r="BR20" s="872"/>
      <c r="BS20" s="872"/>
      <c r="BT20" s="872"/>
      <c r="BU20" s="872"/>
      <c r="BV20" s="872"/>
      <c r="BW20" s="872"/>
      <c r="BX20" s="872"/>
      <c r="BY20" s="872"/>
      <c r="BZ20" s="872"/>
      <c r="CA20" s="872"/>
      <c r="CB20" s="872"/>
      <c r="CC20" s="872"/>
      <c r="CD20" s="872"/>
      <c r="CE20" s="872"/>
      <c r="CF20" s="872"/>
      <c r="CG20" s="872"/>
      <c r="CH20" s="872"/>
      <c r="CI20" s="872"/>
      <c r="CJ20" s="872"/>
      <c r="CK20" s="872"/>
      <c r="CL20" s="872"/>
      <c r="CM20" s="872"/>
      <c r="CN20" s="872"/>
      <c r="CO20" s="872"/>
      <c r="CP20" s="872"/>
      <c r="CQ20" s="872"/>
      <c r="CR20" s="872"/>
      <c r="CS20" s="872"/>
      <c r="CT20" s="872"/>
      <c r="CU20" s="872"/>
      <c r="CV20" s="872"/>
      <c r="CW20" s="872"/>
      <c r="CX20" s="872"/>
      <c r="CY20" s="872"/>
      <c r="CZ20" s="872"/>
      <c r="DA20" s="872"/>
      <c r="DB20" s="872"/>
      <c r="DC20" s="872"/>
      <c r="DD20" s="872"/>
      <c r="DE20" s="872"/>
      <c r="DF20" s="872"/>
      <c r="DG20" s="872"/>
      <c r="DH20" s="872"/>
      <c r="DI20" s="872"/>
      <c r="DJ20" s="872"/>
      <c r="DK20" s="872"/>
      <c r="DL20" s="872"/>
      <c r="DM20" s="872"/>
      <c r="DN20" s="872"/>
      <c r="DO20" s="872"/>
      <c r="DP20" s="872"/>
      <c r="DQ20" s="872"/>
      <c r="DR20" s="872"/>
      <c r="DS20" s="872"/>
      <c r="DT20" s="872"/>
      <c r="DU20" s="872"/>
      <c r="DV20" s="872"/>
      <c r="DW20" s="872"/>
      <c r="DX20" s="872"/>
      <c r="DY20" s="872"/>
      <c r="DZ20" s="872"/>
      <c r="EA20" s="872"/>
      <c r="EB20" s="872"/>
      <c r="EC20" s="872"/>
      <c r="ED20" s="872"/>
      <c r="EE20" s="872"/>
      <c r="EF20" s="872"/>
      <c r="EG20" s="872"/>
      <c r="EH20" s="872"/>
      <c r="EI20" s="872"/>
      <c r="EJ20" s="872"/>
      <c r="EK20" s="872"/>
      <c r="EL20" s="872"/>
      <c r="EM20" s="872"/>
      <c r="EN20" s="872"/>
      <c r="EO20" s="872"/>
      <c r="EP20" s="872"/>
      <c r="EQ20" s="872"/>
      <c r="ER20" s="872"/>
      <c r="ES20" s="872"/>
      <c r="ET20" s="872"/>
      <c r="EU20" s="872"/>
      <c r="EV20" s="872"/>
      <c r="EW20" s="872"/>
      <c r="EX20" s="872"/>
      <c r="EY20" s="872"/>
      <c r="EZ20" s="872"/>
      <c r="FA20" s="872"/>
      <c r="FB20" s="872"/>
      <c r="FC20" s="872"/>
      <c r="FD20" s="872"/>
      <c r="FE20" s="872"/>
      <c r="FF20" s="872"/>
      <c r="FG20" s="872"/>
      <c r="FH20" s="872"/>
      <c r="FI20" s="872"/>
      <c r="FJ20" s="872"/>
      <c r="FK20" s="872"/>
      <c r="FL20" s="872"/>
      <c r="FM20" s="872"/>
      <c r="FN20" s="872"/>
      <c r="FO20" s="872"/>
      <c r="FP20" s="872"/>
      <c r="FQ20" s="872"/>
      <c r="FR20" s="872"/>
      <c r="FS20" s="872"/>
      <c r="FT20" s="872"/>
      <c r="FU20" s="872"/>
      <c r="FV20" s="872"/>
      <c r="FW20" s="872"/>
      <c r="FX20" s="872"/>
      <c r="FY20" s="872"/>
      <c r="FZ20" s="872"/>
      <c r="GA20" s="872"/>
      <c r="GB20" s="872"/>
      <c r="GC20" s="872"/>
      <c r="GD20" s="872"/>
      <c r="GE20" s="872"/>
      <c r="GF20" s="872"/>
      <c r="GG20" s="872"/>
      <c r="GH20" s="872"/>
      <c r="GI20" s="872"/>
      <c r="GJ20" s="872"/>
      <c r="GK20" s="872"/>
      <c r="GL20" s="872"/>
      <c r="GM20" s="872"/>
      <c r="GN20" s="872"/>
      <c r="GO20" s="872"/>
      <c r="GP20" s="872"/>
      <c r="GQ20" s="872"/>
      <c r="GR20" s="872"/>
      <c r="GS20" s="872"/>
      <c r="GT20" s="872"/>
      <c r="GU20" s="872"/>
      <c r="GV20" s="872"/>
      <c r="GW20" s="872"/>
      <c r="GX20" s="872"/>
      <c r="GY20" s="872"/>
      <c r="GZ20" s="872"/>
      <c r="HA20" s="872"/>
      <c r="HB20" s="872"/>
      <c r="HC20" s="872"/>
      <c r="HD20" s="872"/>
      <c r="HE20" s="872"/>
      <c r="HF20" s="872"/>
      <c r="HG20" s="872"/>
      <c r="HH20" s="872"/>
      <c r="HI20" s="872"/>
      <c r="HJ20" s="872"/>
      <c r="HK20" s="872"/>
      <c r="HL20" s="872"/>
      <c r="HM20" s="872"/>
      <c r="HN20" s="872"/>
      <c r="HO20" s="872"/>
      <c r="HP20" s="872"/>
      <c r="HQ20" s="872"/>
      <c r="HR20" s="872"/>
      <c r="HS20" s="872"/>
      <c r="HT20" s="872"/>
      <c r="HU20" s="872"/>
      <c r="HV20" s="872"/>
      <c r="HW20" s="872"/>
      <c r="HX20" s="872"/>
      <c r="HY20" s="872"/>
      <c r="HZ20" s="872"/>
      <c r="IA20" s="872"/>
      <c r="IB20" s="872"/>
      <c r="IC20" s="872"/>
      <c r="ID20" s="872"/>
      <c r="IE20" s="872"/>
      <c r="IF20" s="872"/>
      <c r="IG20" s="872"/>
      <c r="IH20" s="872"/>
      <c r="II20" s="872"/>
      <c r="IJ20" s="872"/>
      <c r="IK20" s="872"/>
      <c r="IL20" s="872"/>
      <c r="IM20" s="872"/>
      <c r="IN20" s="872"/>
      <c r="IO20" s="872"/>
      <c r="IP20" s="872"/>
      <c r="IQ20" s="872"/>
      <c r="IR20" s="872"/>
      <c r="IS20" s="872"/>
      <c r="IT20" s="872"/>
      <c r="IU20" s="872"/>
      <c r="IV20" s="872"/>
    </row>
    <row r="21" spans="1:256" s="873" customFormat="1" ht="12.75" customHeight="1">
      <c r="A21" s="874" t="s">
        <v>61</v>
      </c>
      <c r="B21" s="870" t="s">
        <v>755</v>
      </c>
      <c r="C21" s="871">
        <v>4006449</v>
      </c>
      <c r="D21" s="871">
        <v>5000000</v>
      </c>
      <c r="E21" s="871">
        <v>5000000</v>
      </c>
      <c r="F21" s="871">
        <v>5000000</v>
      </c>
      <c r="G21" s="872"/>
      <c r="H21" s="872"/>
      <c r="I21" s="872"/>
      <c r="J21" s="872"/>
      <c r="K21" s="872"/>
      <c r="L21" s="872"/>
      <c r="M21" s="872"/>
      <c r="N21" s="872"/>
      <c r="O21" s="872"/>
      <c r="P21" s="872"/>
      <c r="Q21" s="872"/>
      <c r="R21" s="872"/>
      <c r="S21" s="872"/>
      <c r="T21" s="872"/>
      <c r="U21" s="872"/>
      <c r="V21" s="872"/>
      <c r="W21" s="872"/>
      <c r="X21" s="872"/>
      <c r="Y21" s="872"/>
      <c r="Z21" s="872"/>
      <c r="AA21" s="872"/>
      <c r="AB21" s="872"/>
      <c r="AC21" s="872"/>
      <c r="AD21" s="872"/>
      <c r="AE21" s="872"/>
      <c r="AF21" s="872"/>
      <c r="AG21" s="872"/>
      <c r="AH21" s="872"/>
      <c r="AI21" s="872"/>
      <c r="AJ21" s="872"/>
      <c r="AK21" s="872"/>
      <c r="AL21" s="872"/>
      <c r="AM21" s="872"/>
      <c r="AN21" s="872"/>
      <c r="AO21" s="872"/>
      <c r="AP21" s="872"/>
      <c r="AQ21" s="872"/>
      <c r="AR21" s="872"/>
      <c r="AS21" s="872"/>
      <c r="AT21" s="872"/>
      <c r="AU21" s="872"/>
      <c r="AV21" s="872"/>
      <c r="AW21" s="872"/>
      <c r="AX21" s="872"/>
      <c r="AY21" s="872"/>
      <c r="AZ21" s="872"/>
      <c r="BA21" s="872"/>
      <c r="BB21" s="872"/>
      <c r="BC21" s="872"/>
      <c r="BD21" s="872"/>
      <c r="BE21" s="872"/>
      <c r="BF21" s="872"/>
      <c r="BG21" s="872"/>
      <c r="BH21" s="872"/>
      <c r="BI21" s="872"/>
      <c r="BJ21" s="872"/>
      <c r="BK21" s="872"/>
      <c r="BL21" s="872"/>
      <c r="BM21" s="872"/>
      <c r="BN21" s="872"/>
      <c r="BO21" s="872"/>
      <c r="BP21" s="872"/>
      <c r="BQ21" s="872"/>
      <c r="BR21" s="872"/>
      <c r="BS21" s="872"/>
      <c r="BT21" s="872"/>
      <c r="BU21" s="872"/>
      <c r="BV21" s="872"/>
      <c r="BW21" s="872"/>
      <c r="BX21" s="872"/>
      <c r="BY21" s="872"/>
      <c r="BZ21" s="872"/>
      <c r="CA21" s="872"/>
      <c r="CB21" s="872"/>
      <c r="CC21" s="872"/>
      <c r="CD21" s="872"/>
      <c r="CE21" s="872"/>
      <c r="CF21" s="872"/>
      <c r="CG21" s="872"/>
      <c r="CH21" s="872"/>
      <c r="CI21" s="872"/>
      <c r="CJ21" s="872"/>
      <c r="CK21" s="872"/>
      <c r="CL21" s="872"/>
      <c r="CM21" s="872"/>
      <c r="CN21" s="872"/>
      <c r="CO21" s="872"/>
      <c r="CP21" s="872"/>
      <c r="CQ21" s="872"/>
      <c r="CR21" s="872"/>
      <c r="CS21" s="872"/>
      <c r="CT21" s="872"/>
      <c r="CU21" s="872"/>
      <c r="CV21" s="872"/>
      <c r="CW21" s="872"/>
      <c r="CX21" s="872"/>
      <c r="CY21" s="872"/>
      <c r="CZ21" s="872"/>
      <c r="DA21" s="872"/>
      <c r="DB21" s="872"/>
      <c r="DC21" s="872"/>
      <c r="DD21" s="872"/>
      <c r="DE21" s="872"/>
      <c r="DF21" s="872"/>
      <c r="DG21" s="872"/>
      <c r="DH21" s="872"/>
      <c r="DI21" s="872"/>
      <c r="DJ21" s="872"/>
      <c r="DK21" s="872"/>
      <c r="DL21" s="872"/>
      <c r="DM21" s="872"/>
      <c r="DN21" s="872"/>
      <c r="DO21" s="872"/>
      <c r="DP21" s="872"/>
      <c r="DQ21" s="872"/>
      <c r="DR21" s="872"/>
      <c r="DS21" s="872"/>
      <c r="DT21" s="872"/>
      <c r="DU21" s="872"/>
      <c r="DV21" s="872"/>
      <c r="DW21" s="872"/>
      <c r="DX21" s="872"/>
      <c r="DY21" s="872"/>
      <c r="DZ21" s="872"/>
      <c r="EA21" s="872"/>
      <c r="EB21" s="872"/>
      <c r="EC21" s="872"/>
      <c r="ED21" s="872"/>
      <c r="EE21" s="872"/>
      <c r="EF21" s="872"/>
      <c r="EG21" s="872"/>
      <c r="EH21" s="872"/>
      <c r="EI21" s="872"/>
      <c r="EJ21" s="872"/>
      <c r="EK21" s="872"/>
      <c r="EL21" s="872"/>
      <c r="EM21" s="872"/>
      <c r="EN21" s="872"/>
      <c r="EO21" s="872"/>
      <c r="EP21" s="872"/>
      <c r="EQ21" s="872"/>
      <c r="ER21" s="872"/>
      <c r="ES21" s="872"/>
      <c r="ET21" s="872"/>
      <c r="EU21" s="872"/>
      <c r="EV21" s="872"/>
      <c r="EW21" s="872"/>
      <c r="EX21" s="872"/>
      <c r="EY21" s="872"/>
      <c r="EZ21" s="872"/>
      <c r="FA21" s="872"/>
      <c r="FB21" s="872"/>
      <c r="FC21" s="872"/>
      <c r="FD21" s="872"/>
      <c r="FE21" s="872"/>
      <c r="FF21" s="872"/>
      <c r="FG21" s="872"/>
      <c r="FH21" s="872"/>
      <c r="FI21" s="872"/>
      <c r="FJ21" s="872"/>
      <c r="FK21" s="872"/>
      <c r="FL21" s="872"/>
      <c r="FM21" s="872"/>
      <c r="FN21" s="872"/>
      <c r="FO21" s="872"/>
      <c r="FP21" s="872"/>
      <c r="FQ21" s="872"/>
      <c r="FR21" s="872"/>
      <c r="FS21" s="872"/>
      <c r="FT21" s="872"/>
      <c r="FU21" s="872"/>
      <c r="FV21" s="872"/>
      <c r="FW21" s="872"/>
      <c r="FX21" s="872"/>
      <c r="FY21" s="872"/>
      <c r="FZ21" s="872"/>
      <c r="GA21" s="872"/>
      <c r="GB21" s="872"/>
      <c r="GC21" s="872"/>
      <c r="GD21" s="872"/>
      <c r="GE21" s="872"/>
      <c r="GF21" s="872"/>
      <c r="GG21" s="872"/>
      <c r="GH21" s="872"/>
      <c r="GI21" s="872"/>
      <c r="GJ21" s="872"/>
      <c r="GK21" s="872"/>
      <c r="GL21" s="872"/>
      <c r="GM21" s="872"/>
      <c r="GN21" s="872"/>
      <c r="GO21" s="872"/>
      <c r="GP21" s="872"/>
      <c r="GQ21" s="872"/>
      <c r="GR21" s="872"/>
      <c r="GS21" s="872"/>
      <c r="GT21" s="872"/>
      <c r="GU21" s="872"/>
      <c r="GV21" s="872"/>
      <c r="GW21" s="872"/>
      <c r="GX21" s="872"/>
      <c r="GY21" s="872"/>
      <c r="GZ21" s="872"/>
      <c r="HA21" s="872"/>
      <c r="HB21" s="872"/>
      <c r="HC21" s="872"/>
      <c r="HD21" s="872"/>
      <c r="HE21" s="872"/>
      <c r="HF21" s="872"/>
      <c r="HG21" s="872"/>
      <c r="HH21" s="872"/>
      <c r="HI21" s="872"/>
      <c r="HJ21" s="872"/>
      <c r="HK21" s="872"/>
      <c r="HL21" s="872"/>
      <c r="HM21" s="872"/>
      <c r="HN21" s="872"/>
      <c r="HO21" s="872"/>
      <c r="HP21" s="872"/>
      <c r="HQ21" s="872"/>
      <c r="HR21" s="872"/>
      <c r="HS21" s="872"/>
      <c r="HT21" s="872"/>
      <c r="HU21" s="872"/>
      <c r="HV21" s="872"/>
      <c r="HW21" s="872"/>
      <c r="HX21" s="872"/>
      <c r="HY21" s="872"/>
      <c r="HZ21" s="872"/>
      <c r="IA21" s="872"/>
      <c r="IB21" s="872"/>
      <c r="IC21" s="872"/>
      <c r="ID21" s="872"/>
      <c r="IE21" s="872"/>
      <c r="IF21" s="872"/>
      <c r="IG21" s="872"/>
      <c r="IH21" s="872"/>
      <c r="II21" s="872"/>
      <c r="IJ21" s="872"/>
      <c r="IK21" s="872"/>
      <c r="IL21" s="872"/>
      <c r="IM21" s="872"/>
      <c r="IN21" s="872"/>
      <c r="IO21" s="872"/>
      <c r="IP21" s="872"/>
      <c r="IQ21" s="872"/>
      <c r="IR21" s="872"/>
      <c r="IS21" s="872"/>
      <c r="IT21" s="872"/>
      <c r="IU21" s="872"/>
      <c r="IV21" s="872"/>
    </row>
    <row r="22" spans="1:256" s="873" customFormat="1" ht="12.75" customHeight="1">
      <c r="A22" s="869" t="s">
        <v>63</v>
      </c>
      <c r="B22" s="870" t="s">
        <v>756</v>
      </c>
      <c r="C22" s="871">
        <v>17711255</v>
      </c>
      <c r="D22" s="871">
        <v>15670000</v>
      </c>
      <c r="E22" s="871">
        <v>15670000</v>
      </c>
      <c r="F22" s="871">
        <v>15670000</v>
      </c>
      <c r="G22" s="872"/>
      <c r="H22" s="872"/>
      <c r="I22" s="872"/>
      <c r="J22" s="872"/>
      <c r="K22" s="872"/>
      <c r="L22" s="872"/>
      <c r="M22" s="872"/>
      <c r="N22" s="872"/>
      <c r="O22" s="872"/>
      <c r="P22" s="872"/>
      <c r="Q22" s="872"/>
      <c r="R22" s="872"/>
      <c r="S22" s="872"/>
      <c r="T22" s="872"/>
      <c r="U22" s="872"/>
      <c r="V22" s="872"/>
      <c r="W22" s="872"/>
      <c r="X22" s="872"/>
      <c r="Y22" s="872"/>
      <c r="Z22" s="872"/>
      <c r="AA22" s="872"/>
      <c r="AB22" s="872"/>
      <c r="AC22" s="872"/>
      <c r="AD22" s="872"/>
      <c r="AE22" s="872"/>
      <c r="AF22" s="872"/>
      <c r="AG22" s="872"/>
      <c r="AH22" s="872"/>
      <c r="AI22" s="872"/>
      <c r="AJ22" s="872"/>
      <c r="AK22" s="872"/>
      <c r="AL22" s="872"/>
      <c r="AM22" s="872"/>
      <c r="AN22" s="872"/>
      <c r="AO22" s="872"/>
      <c r="AP22" s="872"/>
      <c r="AQ22" s="872"/>
      <c r="AR22" s="872"/>
      <c r="AS22" s="872"/>
      <c r="AT22" s="872"/>
      <c r="AU22" s="872"/>
      <c r="AV22" s="872"/>
      <c r="AW22" s="872"/>
      <c r="AX22" s="872"/>
      <c r="AY22" s="872"/>
      <c r="AZ22" s="872"/>
      <c r="BA22" s="872"/>
      <c r="BB22" s="872"/>
      <c r="BC22" s="872"/>
      <c r="BD22" s="872"/>
      <c r="BE22" s="872"/>
      <c r="BF22" s="872"/>
      <c r="BG22" s="872"/>
      <c r="BH22" s="872"/>
      <c r="BI22" s="872"/>
      <c r="BJ22" s="872"/>
      <c r="BK22" s="872"/>
      <c r="BL22" s="872"/>
      <c r="BM22" s="872"/>
      <c r="BN22" s="872"/>
      <c r="BO22" s="872"/>
      <c r="BP22" s="872"/>
      <c r="BQ22" s="872"/>
      <c r="BR22" s="872"/>
      <c r="BS22" s="872"/>
      <c r="BT22" s="872"/>
      <c r="BU22" s="872"/>
      <c r="BV22" s="872"/>
      <c r="BW22" s="872"/>
      <c r="BX22" s="872"/>
      <c r="BY22" s="872"/>
      <c r="BZ22" s="872"/>
      <c r="CA22" s="872"/>
      <c r="CB22" s="872"/>
      <c r="CC22" s="872"/>
      <c r="CD22" s="872"/>
      <c r="CE22" s="872"/>
      <c r="CF22" s="872"/>
      <c r="CG22" s="872"/>
      <c r="CH22" s="872"/>
      <c r="CI22" s="872"/>
      <c r="CJ22" s="872"/>
      <c r="CK22" s="872"/>
      <c r="CL22" s="872"/>
      <c r="CM22" s="872"/>
      <c r="CN22" s="872"/>
      <c r="CO22" s="872"/>
      <c r="CP22" s="872"/>
      <c r="CQ22" s="872"/>
      <c r="CR22" s="872"/>
      <c r="CS22" s="872"/>
      <c r="CT22" s="872"/>
      <c r="CU22" s="872"/>
      <c r="CV22" s="872"/>
      <c r="CW22" s="872"/>
      <c r="CX22" s="872"/>
      <c r="CY22" s="872"/>
      <c r="CZ22" s="872"/>
      <c r="DA22" s="872"/>
      <c r="DB22" s="872"/>
      <c r="DC22" s="872"/>
      <c r="DD22" s="872"/>
      <c r="DE22" s="872"/>
      <c r="DF22" s="872"/>
      <c r="DG22" s="872"/>
      <c r="DH22" s="872"/>
      <c r="DI22" s="872"/>
      <c r="DJ22" s="872"/>
      <c r="DK22" s="872"/>
      <c r="DL22" s="872"/>
      <c r="DM22" s="872"/>
      <c r="DN22" s="872"/>
      <c r="DO22" s="872"/>
      <c r="DP22" s="872"/>
      <c r="DQ22" s="872"/>
      <c r="DR22" s="872"/>
      <c r="DS22" s="872"/>
      <c r="DT22" s="872"/>
      <c r="DU22" s="872"/>
      <c r="DV22" s="872"/>
      <c r="DW22" s="872"/>
      <c r="DX22" s="872"/>
      <c r="DY22" s="872"/>
      <c r="DZ22" s="872"/>
      <c r="EA22" s="872"/>
      <c r="EB22" s="872"/>
      <c r="EC22" s="872"/>
      <c r="ED22" s="872"/>
      <c r="EE22" s="872"/>
      <c r="EF22" s="872"/>
      <c r="EG22" s="872"/>
      <c r="EH22" s="872"/>
      <c r="EI22" s="872"/>
      <c r="EJ22" s="872"/>
      <c r="EK22" s="872"/>
      <c r="EL22" s="872"/>
      <c r="EM22" s="872"/>
      <c r="EN22" s="872"/>
      <c r="EO22" s="872"/>
      <c r="EP22" s="872"/>
      <c r="EQ22" s="872"/>
      <c r="ER22" s="872"/>
      <c r="ES22" s="872"/>
      <c r="ET22" s="872"/>
      <c r="EU22" s="872"/>
      <c r="EV22" s="872"/>
      <c r="EW22" s="872"/>
      <c r="EX22" s="872"/>
      <c r="EY22" s="872"/>
      <c r="EZ22" s="872"/>
      <c r="FA22" s="872"/>
      <c r="FB22" s="872"/>
      <c r="FC22" s="872"/>
      <c r="FD22" s="872"/>
      <c r="FE22" s="872"/>
      <c r="FF22" s="872"/>
      <c r="FG22" s="872"/>
      <c r="FH22" s="872"/>
      <c r="FI22" s="872"/>
      <c r="FJ22" s="872"/>
      <c r="FK22" s="872"/>
      <c r="FL22" s="872"/>
      <c r="FM22" s="872"/>
      <c r="FN22" s="872"/>
      <c r="FO22" s="872"/>
      <c r="FP22" s="872"/>
      <c r="FQ22" s="872"/>
      <c r="FR22" s="872"/>
      <c r="FS22" s="872"/>
      <c r="FT22" s="872"/>
      <c r="FU22" s="872"/>
      <c r="FV22" s="872"/>
      <c r="FW22" s="872"/>
      <c r="FX22" s="872"/>
      <c r="FY22" s="872"/>
      <c r="FZ22" s="872"/>
      <c r="GA22" s="872"/>
      <c r="GB22" s="872"/>
      <c r="GC22" s="872"/>
      <c r="GD22" s="872"/>
      <c r="GE22" s="872"/>
      <c r="GF22" s="872"/>
      <c r="GG22" s="872"/>
      <c r="GH22" s="872"/>
      <c r="GI22" s="872"/>
      <c r="GJ22" s="872"/>
      <c r="GK22" s="872"/>
      <c r="GL22" s="872"/>
      <c r="GM22" s="872"/>
      <c r="GN22" s="872"/>
      <c r="GO22" s="872"/>
      <c r="GP22" s="872"/>
      <c r="GQ22" s="872"/>
      <c r="GR22" s="872"/>
      <c r="GS22" s="872"/>
      <c r="GT22" s="872"/>
      <c r="GU22" s="872"/>
      <c r="GV22" s="872"/>
      <c r="GW22" s="872"/>
      <c r="GX22" s="872"/>
      <c r="GY22" s="872"/>
      <c r="GZ22" s="872"/>
      <c r="HA22" s="872"/>
      <c r="HB22" s="872"/>
      <c r="HC22" s="872"/>
      <c r="HD22" s="872"/>
      <c r="HE22" s="872"/>
      <c r="HF22" s="872"/>
      <c r="HG22" s="872"/>
      <c r="HH22" s="872"/>
      <c r="HI22" s="872"/>
      <c r="HJ22" s="872"/>
      <c r="HK22" s="872"/>
      <c r="HL22" s="872"/>
      <c r="HM22" s="872"/>
      <c r="HN22" s="872"/>
      <c r="HO22" s="872"/>
      <c r="HP22" s="872"/>
      <c r="HQ22" s="872"/>
      <c r="HR22" s="872"/>
      <c r="HS22" s="872"/>
      <c r="HT22" s="872"/>
      <c r="HU22" s="872"/>
      <c r="HV22" s="872"/>
      <c r="HW22" s="872"/>
      <c r="HX22" s="872"/>
      <c r="HY22" s="872"/>
      <c r="HZ22" s="872"/>
      <c r="IA22" s="872"/>
      <c r="IB22" s="872"/>
      <c r="IC22" s="872"/>
      <c r="ID22" s="872"/>
      <c r="IE22" s="872"/>
      <c r="IF22" s="872"/>
      <c r="IG22" s="872"/>
      <c r="IH22" s="872"/>
      <c r="II22" s="872"/>
      <c r="IJ22" s="872"/>
      <c r="IK22" s="872"/>
      <c r="IL22" s="872"/>
      <c r="IM22" s="872"/>
      <c r="IN22" s="872"/>
      <c r="IO22" s="872"/>
      <c r="IP22" s="872"/>
      <c r="IQ22" s="872"/>
      <c r="IR22" s="872"/>
      <c r="IS22" s="872"/>
      <c r="IT22" s="872"/>
      <c r="IU22" s="872"/>
      <c r="IV22" s="872"/>
    </row>
    <row r="23" spans="1:256" s="873" customFormat="1" ht="12.75" customHeight="1">
      <c r="A23" s="874" t="s">
        <v>65</v>
      </c>
      <c r="B23" s="870" t="s">
        <v>757</v>
      </c>
      <c r="C23" s="871">
        <v>8898038</v>
      </c>
      <c r="D23" s="871">
        <v>9000000</v>
      </c>
      <c r="E23" s="871">
        <v>9000000</v>
      </c>
      <c r="F23" s="871">
        <v>9000000</v>
      </c>
      <c r="G23" s="872"/>
      <c r="H23" s="872"/>
      <c r="I23" s="872"/>
      <c r="J23" s="872"/>
      <c r="K23" s="872"/>
      <c r="L23" s="872"/>
      <c r="M23" s="872"/>
      <c r="N23" s="872"/>
      <c r="O23" s="872"/>
      <c r="P23" s="872"/>
      <c r="Q23" s="872"/>
      <c r="R23" s="872"/>
      <c r="S23" s="872"/>
      <c r="T23" s="872"/>
      <c r="U23" s="872"/>
      <c r="V23" s="872"/>
      <c r="W23" s="872"/>
      <c r="X23" s="872"/>
      <c r="Y23" s="872"/>
      <c r="Z23" s="872"/>
      <c r="AA23" s="872"/>
      <c r="AB23" s="872"/>
      <c r="AC23" s="872"/>
      <c r="AD23" s="872"/>
      <c r="AE23" s="872"/>
      <c r="AF23" s="872"/>
      <c r="AG23" s="872"/>
      <c r="AH23" s="872"/>
      <c r="AI23" s="872"/>
      <c r="AJ23" s="872"/>
      <c r="AK23" s="872"/>
      <c r="AL23" s="872"/>
      <c r="AM23" s="872"/>
      <c r="AN23" s="872"/>
      <c r="AO23" s="872"/>
      <c r="AP23" s="872"/>
      <c r="AQ23" s="872"/>
      <c r="AR23" s="872"/>
      <c r="AS23" s="872"/>
      <c r="AT23" s="872"/>
      <c r="AU23" s="872"/>
      <c r="AV23" s="872"/>
      <c r="AW23" s="872"/>
      <c r="AX23" s="872"/>
      <c r="AY23" s="872"/>
      <c r="AZ23" s="872"/>
      <c r="BA23" s="872"/>
      <c r="BB23" s="872"/>
      <c r="BC23" s="872"/>
      <c r="BD23" s="872"/>
      <c r="BE23" s="872"/>
      <c r="BF23" s="872"/>
      <c r="BG23" s="872"/>
      <c r="BH23" s="872"/>
      <c r="BI23" s="872"/>
      <c r="BJ23" s="872"/>
      <c r="BK23" s="872"/>
      <c r="BL23" s="872"/>
      <c r="BM23" s="872"/>
      <c r="BN23" s="872"/>
      <c r="BO23" s="872"/>
      <c r="BP23" s="872"/>
      <c r="BQ23" s="872"/>
      <c r="BR23" s="872"/>
      <c r="BS23" s="872"/>
      <c r="BT23" s="872"/>
      <c r="BU23" s="872"/>
      <c r="BV23" s="872"/>
      <c r="BW23" s="872"/>
      <c r="BX23" s="872"/>
      <c r="BY23" s="872"/>
      <c r="BZ23" s="872"/>
      <c r="CA23" s="872"/>
      <c r="CB23" s="872"/>
      <c r="CC23" s="872"/>
      <c r="CD23" s="872"/>
      <c r="CE23" s="872"/>
      <c r="CF23" s="872"/>
      <c r="CG23" s="872"/>
      <c r="CH23" s="872"/>
      <c r="CI23" s="872"/>
      <c r="CJ23" s="872"/>
      <c r="CK23" s="872"/>
      <c r="CL23" s="872"/>
      <c r="CM23" s="872"/>
      <c r="CN23" s="872"/>
      <c r="CO23" s="872"/>
      <c r="CP23" s="872"/>
      <c r="CQ23" s="872"/>
      <c r="CR23" s="872"/>
      <c r="CS23" s="872"/>
      <c r="CT23" s="872"/>
      <c r="CU23" s="872"/>
      <c r="CV23" s="872"/>
      <c r="CW23" s="872"/>
      <c r="CX23" s="872"/>
      <c r="CY23" s="872"/>
      <c r="CZ23" s="872"/>
      <c r="DA23" s="872"/>
      <c r="DB23" s="872"/>
      <c r="DC23" s="872"/>
      <c r="DD23" s="872"/>
      <c r="DE23" s="872"/>
      <c r="DF23" s="872"/>
      <c r="DG23" s="872"/>
      <c r="DH23" s="872"/>
      <c r="DI23" s="872"/>
      <c r="DJ23" s="872"/>
      <c r="DK23" s="872"/>
      <c r="DL23" s="872"/>
      <c r="DM23" s="872"/>
      <c r="DN23" s="872"/>
      <c r="DO23" s="872"/>
      <c r="DP23" s="872"/>
      <c r="DQ23" s="872"/>
      <c r="DR23" s="872"/>
      <c r="DS23" s="872"/>
      <c r="DT23" s="872"/>
      <c r="DU23" s="872"/>
      <c r="DV23" s="872"/>
      <c r="DW23" s="872"/>
      <c r="DX23" s="872"/>
      <c r="DY23" s="872"/>
      <c r="DZ23" s="872"/>
      <c r="EA23" s="872"/>
      <c r="EB23" s="872"/>
      <c r="EC23" s="872"/>
      <c r="ED23" s="872"/>
      <c r="EE23" s="872"/>
      <c r="EF23" s="872"/>
      <c r="EG23" s="872"/>
      <c r="EH23" s="872"/>
      <c r="EI23" s="872"/>
      <c r="EJ23" s="872"/>
      <c r="EK23" s="872"/>
      <c r="EL23" s="872"/>
      <c r="EM23" s="872"/>
      <c r="EN23" s="872"/>
      <c r="EO23" s="872"/>
      <c r="EP23" s="872"/>
      <c r="EQ23" s="872"/>
      <c r="ER23" s="872"/>
      <c r="ES23" s="872"/>
      <c r="ET23" s="872"/>
      <c r="EU23" s="872"/>
      <c r="EV23" s="872"/>
      <c r="EW23" s="872"/>
      <c r="EX23" s="872"/>
      <c r="EY23" s="872"/>
      <c r="EZ23" s="872"/>
      <c r="FA23" s="872"/>
      <c r="FB23" s="872"/>
      <c r="FC23" s="872"/>
      <c r="FD23" s="872"/>
      <c r="FE23" s="872"/>
      <c r="FF23" s="872"/>
      <c r="FG23" s="872"/>
      <c r="FH23" s="872"/>
      <c r="FI23" s="872"/>
      <c r="FJ23" s="872"/>
      <c r="FK23" s="872"/>
      <c r="FL23" s="872"/>
      <c r="FM23" s="872"/>
      <c r="FN23" s="872"/>
      <c r="FO23" s="872"/>
      <c r="FP23" s="872"/>
      <c r="FQ23" s="872"/>
      <c r="FR23" s="872"/>
      <c r="FS23" s="872"/>
      <c r="FT23" s="872"/>
      <c r="FU23" s="872"/>
      <c r="FV23" s="872"/>
      <c r="FW23" s="872"/>
      <c r="FX23" s="872"/>
      <c r="FY23" s="872"/>
      <c r="FZ23" s="872"/>
      <c r="GA23" s="872"/>
      <c r="GB23" s="872"/>
      <c r="GC23" s="872"/>
      <c r="GD23" s="872"/>
      <c r="GE23" s="872"/>
      <c r="GF23" s="872"/>
      <c r="GG23" s="872"/>
      <c r="GH23" s="872"/>
      <c r="GI23" s="872"/>
      <c r="GJ23" s="872"/>
      <c r="GK23" s="872"/>
      <c r="GL23" s="872"/>
      <c r="GM23" s="872"/>
      <c r="GN23" s="872"/>
      <c r="GO23" s="872"/>
      <c r="GP23" s="872"/>
      <c r="GQ23" s="872"/>
      <c r="GR23" s="872"/>
      <c r="GS23" s="872"/>
      <c r="GT23" s="872"/>
      <c r="GU23" s="872"/>
      <c r="GV23" s="872"/>
      <c r="GW23" s="872"/>
      <c r="GX23" s="872"/>
      <c r="GY23" s="872"/>
      <c r="GZ23" s="872"/>
      <c r="HA23" s="872"/>
      <c r="HB23" s="872"/>
      <c r="HC23" s="872"/>
      <c r="HD23" s="872"/>
      <c r="HE23" s="872"/>
      <c r="HF23" s="872"/>
      <c r="HG23" s="872"/>
      <c r="HH23" s="872"/>
      <c r="HI23" s="872"/>
      <c r="HJ23" s="872"/>
      <c r="HK23" s="872"/>
      <c r="HL23" s="872"/>
      <c r="HM23" s="872"/>
      <c r="HN23" s="872"/>
      <c r="HO23" s="872"/>
      <c r="HP23" s="872"/>
      <c r="HQ23" s="872"/>
      <c r="HR23" s="872"/>
      <c r="HS23" s="872"/>
      <c r="HT23" s="872"/>
      <c r="HU23" s="872"/>
      <c r="HV23" s="872"/>
      <c r="HW23" s="872"/>
      <c r="HX23" s="872"/>
      <c r="HY23" s="872"/>
      <c r="HZ23" s="872"/>
      <c r="IA23" s="872"/>
      <c r="IB23" s="872"/>
      <c r="IC23" s="872"/>
      <c r="ID23" s="872"/>
      <c r="IE23" s="872"/>
      <c r="IF23" s="872"/>
      <c r="IG23" s="872"/>
      <c r="IH23" s="872"/>
      <c r="II23" s="872"/>
      <c r="IJ23" s="872"/>
      <c r="IK23" s="872"/>
      <c r="IL23" s="872"/>
      <c r="IM23" s="872"/>
      <c r="IN23" s="872"/>
      <c r="IO23" s="872"/>
      <c r="IP23" s="872"/>
      <c r="IQ23" s="872"/>
      <c r="IR23" s="872"/>
      <c r="IS23" s="872"/>
      <c r="IT23" s="872"/>
      <c r="IU23" s="872"/>
      <c r="IV23" s="872"/>
    </row>
    <row r="24" spans="1:256" s="873" customFormat="1" ht="12.75" customHeight="1">
      <c r="A24" s="874" t="s">
        <v>92</v>
      </c>
      <c r="B24" s="870" t="s">
        <v>800</v>
      </c>
      <c r="C24" s="871">
        <v>5708000</v>
      </c>
      <c r="D24" s="871"/>
      <c r="E24" s="871"/>
      <c r="F24" s="871"/>
      <c r="G24" s="872"/>
      <c r="H24" s="872"/>
      <c r="I24" s="872"/>
      <c r="J24" s="872"/>
      <c r="K24" s="872"/>
      <c r="L24" s="872"/>
      <c r="M24" s="872"/>
      <c r="N24" s="872"/>
      <c r="O24" s="872"/>
      <c r="P24" s="872"/>
      <c r="Q24" s="872"/>
      <c r="R24" s="872"/>
      <c r="S24" s="872"/>
      <c r="T24" s="872"/>
      <c r="U24" s="872"/>
      <c r="V24" s="872"/>
      <c r="W24" s="872"/>
      <c r="X24" s="872"/>
      <c r="Y24" s="872"/>
      <c r="Z24" s="872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872"/>
      <c r="AL24" s="872"/>
      <c r="AM24" s="872"/>
      <c r="AN24" s="872"/>
      <c r="AO24" s="872"/>
      <c r="AP24" s="872"/>
      <c r="AQ24" s="872"/>
      <c r="AR24" s="872"/>
      <c r="AS24" s="872"/>
      <c r="AT24" s="872"/>
      <c r="AU24" s="872"/>
      <c r="AV24" s="872"/>
      <c r="AW24" s="872"/>
      <c r="AX24" s="872"/>
      <c r="AY24" s="872"/>
      <c r="AZ24" s="872"/>
      <c r="BA24" s="872"/>
      <c r="BB24" s="872"/>
      <c r="BC24" s="872"/>
      <c r="BD24" s="872"/>
      <c r="BE24" s="872"/>
      <c r="BF24" s="872"/>
      <c r="BG24" s="872"/>
      <c r="BH24" s="872"/>
      <c r="BI24" s="872"/>
      <c r="BJ24" s="872"/>
      <c r="BK24" s="872"/>
      <c r="BL24" s="872"/>
      <c r="BM24" s="872"/>
      <c r="BN24" s="872"/>
      <c r="BO24" s="872"/>
      <c r="BP24" s="872"/>
      <c r="BQ24" s="872"/>
      <c r="BR24" s="872"/>
      <c r="BS24" s="872"/>
      <c r="BT24" s="872"/>
      <c r="BU24" s="872"/>
      <c r="BV24" s="872"/>
      <c r="BW24" s="872"/>
      <c r="BX24" s="872"/>
      <c r="BY24" s="872"/>
      <c r="BZ24" s="872"/>
      <c r="CA24" s="872"/>
      <c r="CB24" s="872"/>
      <c r="CC24" s="872"/>
      <c r="CD24" s="872"/>
      <c r="CE24" s="872"/>
      <c r="CF24" s="872"/>
      <c r="CG24" s="872"/>
      <c r="CH24" s="872"/>
      <c r="CI24" s="872"/>
      <c r="CJ24" s="872"/>
      <c r="CK24" s="872"/>
      <c r="CL24" s="872"/>
      <c r="CM24" s="872"/>
      <c r="CN24" s="872"/>
      <c r="CO24" s="872"/>
      <c r="CP24" s="872"/>
      <c r="CQ24" s="872"/>
      <c r="CR24" s="872"/>
      <c r="CS24" s="872"/>
      <c r="CT24" s="872"/>
      <c r="CU24" s="872"/>
      <c r="CV24" s="872"/>
      <c r="CW24" s="872"/>
      <c r="CX24" s="872"/>
      <c r="CY24" s="872"/>
      <c r="CZ24" s="872"/>
      <c r="DA24" s="872"/>
      <c r="DB24" s="872"/>
      <c r="DC24" s="872"/>
      <c r="DD24" s="872"/>
      <c r="DE24" s="872"/>
      <c r="DF24" s="872"/>
      <c r="DG24" s="872"/>
      <c r="DH24" s="872"/>
      <c r="DI24" s="872"/>
      <c r="DJ24" s="872"/>
      <c r="DK24" s="872"/>
      <c r="DL24" s="872"/>
      <c r="DM24" s="872"/>
      <c r="DN24" s="872"/>
      <c r="DO24" s="872"/>
      <c r="DP24" s="872"/>
      <c r="DQ24" s="872"/>
      <c r="DR24" s="872"/>
      <c r="DS24" s="872"/>
      <c r="DT24" s="872"/>
      <c r="DU24" s="872"/>
      <c r="DV24" s="872"/>
      <c r="DW24" s="872"/>
      <c r="DX24" s="872"/>
      <c r="DY24" s="872"/>
      <c r="DZ24" s="872"/>
      <c r="EA24" s="872"/>
      <c r="EB24" s="872"/>
      <c r="EC24" s="872"/>
      <c r="ED24" s="872"/>
      <c r="EE24" s="872"/>
      <c r="EF24" s="872"/>
      <c r="EG24" s="872"/>
      <c r="EH24" s="872"/>
      <c r="EI24" s="872"/>
      <c r="EJ24" s="872"/>
      <c r="EK24" s="872"/>
      <c r="EL24" s="872"/>
      <c r="EM24" s="872"/>
      <c r="EN24" s="872"/>
      <c r="EO24" s="872"/>
      <c r="EP24" s="872"/>
      <c r="EQ24" s="872"/>
      <c r="ER24" s="872"/>
      <c r="ES24" s="872"/>
      <c r="ET24" s="872"/>
      <c r="EU24" s="872"/>
      <c r="EV24" s="872"/>
      <c r="EW24" s="872"/>
      <c r="EX24" s="872"/>
      <c r="EY24" s="872"/>
      <c r="EZ24" s="872"/>
      <c r="FA24" s="872"/>
      <c r="FB24" s="872"/>
      <c r="FC24" s="872"/>
      <c r="FD24" s="872"/>
      <c r="FE24" s="872"/>
      <c r="FF24" s="872"/>
      <c r="FG24" s="872"/>
      <c r="FH24" s="872"/>
      <c r="FI24" s="872"/>
      <c r="FJ24" s="872"/>
      <c r="FK24" s="872"/>
      <c r="FL24" s="872"/>
      <c r="FM24" s="872"/>
      <c r="FN24" s="872"/>
      <c r="FO24" s="872"/>
      <c r="FP24" s="872"/>
      <c r="FQ24" s="872"/>
      <c r="FR24" s="872"/>
      <c r="FS24" s="872"/>
      <c r="FT24" s="872"/>
      <c r="FU24" s="872"/>
      <c r="FV24" s="872"/>
      <c r="FW24" s="872"/>
      <c r="FX24" s="872"/>
      <c r="FY24" s="872"/>
      <c r="FZ24" s="872"/>
      <c r="GA24" s="872"/>
      <c r="GB24" s="872"/>
      <c r="GC24" s="872"/>
      <c r="GD24" s="872"/>
      <c r="GE24" s="872"/>
      <c r="GF24" s="872"/>
      <c r="GG24" s="872"/>
      <c r="GH24" s="872"/>
      <c r="GI24" s="872"/>
      <c r="GJ24" s="872"/>
      <c r="GK24" s="872"/>
      <c r="GL24" s="872"/>
      <c r="GM24" s="872"/>
      <c r="GN24" s="872"/>
      <c r="GO24" s="872"/>
      <c r="GP24" s="872"/>
      <c r="GQ24" s="872"/>
      <c r="GR24" s="872"/>
      <c r="GS24" s="872"/>
      <c r="GT24" s="872"/>
      <c r="GU24" s="872"/>
      <c r="GV24" s="872"/>
      <c r="GW24" s="872"/>
      <c r="GX24" s="872"/>
      <c r="GY24" s="872"/>
      <c r="GZ24" s="872"/>
      <c r="HA24" s="872"/>
      <c r="HB24" s="872"/>
      <c r="HC24" s="872"/>
      <c r="HD24" s="872"/>
      <c r="HE24" s="872"/>
      <c r="HF24" s="872"/>
      <c r="HG24" s="872"/>
      <c r="HH24" s="872"/>
      <c r="HI24" s="872"/>
      <c r="HJ24" s="872"/>
      <c r="HK24" s="872"/>
      <c r="HL24" s="872"/>
      <c r="HM24" s="872"/>
      <c r="HN24" s="872"/>
      <c r="HO24" s="872"/>
      <c r="HP24" s="872"/>
      <c r="HQ24" s="872"/>
      <c r="HR24" s="872"/>
      <c r="HS24" s="872"/>
      <c r="HT24" s="872"/>
      <c r="HU24" s="872"/>
      <c r="HV24" s="872"/>
      <c r="HW24" s="872"/>
      <c r="HX24" s="872"/>
      <c r="HY24" s="872"/>
      <c r="HZ24" s="872"/>
      <c r="IA24" s="872"/>
      <c r="IB24" s="872"/>
      <c r="IC24" s="872"/>
      <c r="ID24" s="872"/>
      <c r="IE24" s="872"/>
      <c r="IF24" s="872"/>
      <c r="IG24" s="872"/>
      <c r="IH24" s="872"/>
      <c r="II24" s="872"/>
      <c r="IJ24" s="872"/>
      <c r="IK24" s="872"/>
      <c r="IL24" s="872"/>
      <c r="IM24" s="872"/>
      <c r="IN24" s="872"/>
      <c r="IO24" s="872"/>
      <c r="IP24" s="872"/>
      <c r="IQ24" s="872"/>
      <c r="IR24" s="872"/>
      <c r="IS24" s="872"/>
      <c r="IT24" s="872"/>
      <c r="IU24" s="872"/>
      <c r="IV24" s="872"/>
    </row>
    <row r="25" spans="1:256" s="873" customFormat="1" ht="12.75" customHeight="1">
      <c r="A25" s="869" t="s">
        <v>66</v>
      </c>
      <c r="B25" s="870" t="s">
        <v>758</v>
      </c>
      <c r="C25" s="871">
        <v>2902</v>
      </c>
      <c r="D25" s="871">
        <v>30000</v>
      </c>
      <c r="E25" s="871">
        <v>30000</v>
      </c>
      <c r="F25" s="871">
        <v>30000</v>
      </c>
      <c r="G25" s="872"/>
      <c r="H25" s="872"/>
      <c r="I25" s="872"/>
      <c r="J25" s="872"/>
      <c r="K25" s="872"/>
      <c r="L25" s="872"/>
      <c r="M25" s="872"/>
      <c r="N25" s="872"/>
      <c r="O25" s="872"/>
      <c r="P25" s="872"/>
      <c r="Q25" s="872"/>
      <c r="R25" s="872"/>
      <c r="S25" s="872"/>
      <c r="T25" s="872"/>
      <c r="U25" s="872"/>
      <c r="V25" s="872"/>
      <c r="W25" s="872"/>
      <c r="X25" s="872"/>
      <c r="Y25" s="872"/>
      <c r="Z25" s="872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872"/>
      <c r="AL25" s="872"/>
      <c r="AM25" s="872"/>
      <c r="AN25" s="872"/>
      <c r="AO25" s="872"/>
      <c r="AP25" s="872"/>
      <c r="AQ25" s="872"/>
      <c r="AR25" s="872"/>
      <c r="AS25" s="872"/>
      <c r="AT25" s="872"/>
      <c r="AU25" s="872"/>
      <c r="AV25" s="872"/>
      <c r="AW25" s="872"/>
      <c r="AX25" s="872"/>
      <c r="AY25" s="872"/>
      <c r="AZ25" s="872"/>
      <c r="BA25" s="872"/>
      <c r="BB25" s="872"/>
      <c r="BC25" s="872"/>
      <c r="BD25" s="872"/>
      <c r="BE25" s="872"/>
      <c r="BF25" s="872"/>
      <c r="BG25" s="872"/>
      <c r="BH25" s="872"/>
      <c r="BI25" s="872"/>
      <c r="BJ25" s="872"/>
      <c r="BK25" s="872"/>
      <c r="BL25" s="872"/>
      <c r="BM25" s="872"/>
      <c r="BN25" s="872"/>
      <c r="BO25" s="872"/>
      <c r="BP25" s="872"/>
      <c r="BQ25" s="872"/>
      <c r="BR25" s="872"/>
      <c r="BS25" s="872"/>
      <c r="BT25" s="872"/>
      <c r="BU25" s="872"/>
      <c r="BV25" s="872"/>
      <c r="BW25" s="872"/>
      <c r="BX25" s="872"/>
      <c r="BY25" s="872"/>
      <c r="BZ25" s="872"/>
      <c r="CA25" s="872"/>
      <c r="CB25" s="872"/>
      <c r="CC25" s="872"/>
      <c r="CD25" s="872"/>
      <c r="CE25" s="872"/>
      <c r="CF25" s="872"/>
      <c r="CG25" s="872"/>
      <c r="CH25" s="872"/>
      <c r="CI25" s="872"/>
      <c r="CJ25" s="872"/>
      <c r="CK25" s="872"/>
      <c r="CL25" s="872"/>
      <c r="CM25" s="872"/>
      <c r="CN25" s="872"/>
      <c r="CO25" s="872"/>
      <c r="CP25" s="872"/>
      <c r="CQ25" s="872"/>
      <c r="CR25" s="872"/>
      <c r="CS25" s="872"/>
      <c r="CT25" s="872"/>
      <c r="CU25" s="872"/>
      <c r="CV25" s="872"/>
      <c r="CW25" s="872"/>
      <c r="CX25" s="872"/>
      <c r="CY25" s="872"/>
      <c r="CZ25" s="872"/>
      <c r="DA25" s="872"/>
      <c r="DB25" s="872"/>
      <c r="DC25" s="872"/>
      <c r="DD25" s="872"/>
      <c r="DE25" s="872"/>
      <c r="DF25" s="872"/>
      <c r="DG25" s="872"/>
      <c r="DH25" s="872"/>
      <c r="DI25" s="872"/>
      <c r="DJ25" s="872"/>
      <c r="DK25" s="872"/>
      <c r="DL25" s="872"/>
      <c r="DM25" s="872"/>
      <c r="DN25" s="872"/>
      <c r="DO25" s="872"/>
      <c r="DP25" s="872"/>
      <c r="DQ25" s="872"/>
      <c r="DR25" s="872"/>
      <c r="DS25" s="872"/>
      <c r="DT25" s="872"/>
      <c r="DU25" s="872"/>
      <c r="DV25" s="872"/>
      <c r="DW25" s="872"/>
      <c r="DX25" s="872"/>
      <c r="DY25" s="872"/>
      <c r="DZ25" s="872"/>
      <c r="EA25" s="872"/>
      <c r="EB25" s="872"/>
      <c r="EC25" s="872"/>
      <c r="ED25" s="872"/>
      <c r="EE25" s="872"/>
      <c r="EF25" s="872"/>
      <c r="EG25" s="872"/>
      <c r="EH25" s="872"/>
      <c r="EI25" s="872"/>
      <c r="EJ25" s="872"/>
      <c r="EK25" s="872"/>
      <c r="EL25" s="872"/>
      <c r="EM25" s="872"/>
      <c r="EN25" s="872"/>
      <c r="EO25" s="872"/>
      <c r="EP25" s="872"/>
      <c r="EQ25" s="872"/>
      <c r="ER25" s="872"/>
      <c r="ES25" s="872"/>
      <c r="ET25" s="872"/>
      <c r="EU25" s="872"/>
      <c r="EV25" s="872"/>
      <c r="EW25" s="872"/>
      <c r="EX25" s="872"/>
      <c r="EY25" s="872"/>
      <c r="EZ25" s="872"/>
      <c r="FA25" s="872"/>
      <c r="FB25" s="872"/>
      <c r="FC25" s="872"/>
      <c r="FD25" s="872"/>
      <c r="FE25" s="872"/>
      <c r="FF25" s="872"/>
      <c r="FG25" s="872"/>
      <c r="FH25" s="872"/>
      <c r="FI25" s="872"/>
      <c r="FJ25" s="872"/>
      <c r="FK25" s="872"/>
      <c r="FL25" s="872"/>
      <c r="FM25" s="872"/>
      <c r="FN25" s="872"/>
      <c r="FO25" s="872"/>
      <c r="FP25" s="872"/>
      <c r="FQ25" s="872"/>
      <c r="FR25" s="872"/>
      <c r="FS25" s="872"/>
      <c r="FT25" s="872"/>
      <c r="FU25" s="872"/>
      <c r="FV25" s="872"/>
      <c r="FW25" s="872"/>
      <c r="FX25" s="872"/>
      <c r="FY25" s="872"/>
      <c r="FZ25" s="872"/>
      <c r="GA25" s="872"/>
      <c r="GB25" s="872"/>
      <c r="GC25" s="872"/>
      <c r="GD25" s="872"/>
      <c r="GE25" s="872"/>
      <c r="GF25" s="872"/>
      <c r="GG25" s="872"/>
      <c r="GH25" s="872"/>
      <c r="GI25" s="872"/>
      <c r="GJ25" s="872"/>
      <c r="GK25" s="872"/>
      <c r="GL25" s="872"/>
      <c r="GM25" s="872"/>
      <c r="GN25" s="872"/>
      <c r="GO25" s="872"/>
      <c r="GP25" s="872"/>
      <c r="GQ25" s="872"/>
      <c r="GR25" s="872"/>
      <c r="GS25" s="872"/>
      <c r="GT25" s="872"/>
      <c r="GU25" s="872"/>
      <c r="GV25" s="872"/>
      <c r="GW25" s="872"/>
      <c r="GX25" s="872"/>
      <c r="GY25" s="872"/>
      <c r="GZ25" s="872"/>
      <c r="HA25" s="872"/>
      <c r="HB25" s="872"/>
      <c r="HC25" s="872"/>
      <c r="HD25" s="872"/>
      <c r="HE25" s="872"/>
      <c r="HF25" s="872"/>
      <c r="HG25" s="872"/>
      <c r="HH25" s="872"/>
      <c r="HI25" s="872"/>
      <c r="HJ25" s="872"/>
      <c r="HK25" s="872"/>
      <c r="HL25" s="872"/>
      <c r="HM25" s="872"/>
      <c r="HN25" s="872"/>
      <c r="HO25" s="872"/>
      <c r="HP25" s="872"/>
      <c r="HQ25" s="872"/>
      <c r="HR25" s="872"/>
      <c r="HS25" s="872"/>
      <c r="HT25" s="872"/>
      <c r="HU25" s="872"/>
      <c r="HV25" s="872"/>
      <c r="HW25" s="872"/>
      <c r="HX25" s="872"/>
      <c r="HY25" s="872"/>
      <c r="HZ25" s="872"/>
      <c r="IA25" s="872"/>
      <c r="IB25" s="872"/>
      <c r="IC25" s="872"/>
      <c r="ID25" s="872"/>
      <c r="IE25" s="872"/>
      <c r="IF25" s="872"/>
      <c r="IG25" s="872"/>
      <c r="IH25" s="872"/>
      <c r="II25" s="872"/>
      <c r="IJ25" s="872"/>
      <c r="IK25" s="872"/>
      <c r="IL25" s="872"/>
      <c r="IM25" s="872"/>
      <c r="IN25" s="872"/>
      <c r="IO25" s="872"/>
      <c r="IP25" s="872"/>
      <c r="IQ25" s="872"/>
      <c r="IR25" s="872"/>
      <c r="IS25" s="872"/>
      <c r="IT25" s="872"/>
      <c r="IU25" s="872"/>
      <c r="IV25" s="872"/>
    </row>
    <row r="26" spans="1:256" s="873" customFormat="1" ht="12.75" customHeight="1">
      <c r="A26" s="874" t="s">
        <v>67</v>
      </c>
      <c r="B26" s="870" t="s">
        <v>759</v>
      </c>
      <c r="C26" s="871">
        <v>1185456</v>
      </c>
      <c r="D26" s="871">
        <v>4000000</v>
      </c>
      <c r="E26" s="871">
        <v>4000000</v>
      </c>
      <c r="F26" s="871">
        <v>4000000</v>
      </c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872"/>
      <c r="AM26" s="872"/>
      <c r="AN26" s="872"/>
      <c r="AO26" s="872"/>
      <c r="AP26" s="872"/>
      <c r="AQ26" s="872"/>
      <c r="AR26" s="872"/>
      <c r="AS26" s="872"/>
      <c r="AT26" s="872"/>
      <c r="AU26" s="872"/>
      <c r="AV26" s="872"/>
      <c r="AW26" s="872"/>
      <c r="AX26" s="872"/>
      <c r="AY26" s="872"/>
      <c r="AZ26" s="872"/>
      <c r="BA26" s="872"/>
      <c r="BB26" s="872"/>
      <c r="BC26" s="872"/>
      <c r="BD26" s="872"/>
      <c r="BE26" s="872"/>
      <c r="BF26" s="872"/>
      <c r="BG26" s="872"/>
      <c r="BH26" s="872"/>
      <c r="BI26" s="872"/>
      <c r="BJ26" s="872"/>
      <c r="BK26" s="872"/>
      <c r="BL26" s="872"/>
      <c r="BM26" s="872"/>
      <c r="BN26" s="872"/>
      <c r="BO26" s="872"/>
      <c r="BP26" s="872"/>
      <c r="BQ26" s="872"/>
      <c r="BR26" s="872"/>
      <c r="BS26" s="872"/>
      <c r="BT26" s="872"/>
      <c r="BU26" s="872"/>
      <c r="BV26" s="872"/>
      <c r="BW26" s="872"/>
      <c r="BX26" s="872"/>
      <c r="BY26" s="872"/>
      <c r="BZ26" s="872"/>
      <c r="CA26" s="872"/>
      <c r="CB26" s="872"/>
      <c r="CC26" s="872"/>
      <c r="CD26" s="872"/>
      <c r="CE26" s="872"/>
      <c r="CF26" s="872"/>
      <c r="CG26" s="872"/>
      <c r="CH26" s="872"/>
      <c r="CI26" s="872"/>
      <c r="CJ26" s="872"/>
      <c r="CK26" s="872"/>
      <c r="CL26" s="872"/>
      <c r="CM26" s="872"/>
      <c r="CN26" s="872"/>
      <c r="CO26" s="872"/>
      <c r="CP26" s="872"/>
      <c r="CQ26" s="872"/>
      <c r="CR26" s="872"/>
      <c r="CS26" s="872"/>
      <c r="CT26" s="872"/>
      <c r="CU26" s="872"/>
      <c r="CV26" s="872"/>
      <c r="CW26" s="872"/>
      <c r="CX26" s="872"/>
      <c r="CY26" s="872"/>
      <c r="CZ26" s="872"/>
      <c r="DA26" s="872"/>
      <c r="DB26" s="872"/>
      <c r="DC26" s="872"/>
      <c r="DD26" s="872"/>
      <c r="DE26" s="872"/>
      <c r="DF26" s="872"/>
      <c r="DG26" s="872"/>
      <c r="DH26" s="872"/>
      <c r="DI26" s="872"/>
      <c r="DJ26" s="872"/>
      <c r="DK26" s="872"/>
      <c r="DL26" s="872"/>
      <c r="DM26" s="872"/>
      <c r="DN26" s="872"/>
      <c r="DO26" s="872"/>
      <c r="DP26" s="872"/>
      <c r="DQ26" s="872"/>
      <c r="DR26" s="872"/>
      <c r="DS26" s="872"/>
      <c r="DT26" s="872"/>
      <c r="DU26" s="872"/>
      <c r="DV26" s="872"/>
      <c r="DW26" s="872"/>
      <c r="DX26" s="872"/>
      <c r="DY26" s="872"/>
      <c r="DZ26" s="872"/>
      <c r="EA26" s="872"/>
      <c r="EB26" s="872"/>
      <c r="EC26" s="872"/>
      <c r="ED26" s="872"/>
      <c r="EE26" s="872"/>
      <c r="EF26" s="872"/>
      <c r="EG26" s="872"/>
      <c r="EH26" s="872"/>
      <c r="EI26" s="872"/>
      <c r="EJ26" s="872"/>
      <c r="EK26" s="872"/>
      <c r="EL26" s="872"/>
      <c r="EM26" s="872"/>
      <c r="EN26" s="872"/>
      <c r="EO26" s="872"/>
      <c r="EP26" s="872"/>
      <c r="EQ26" s="872"/>
      <c r="ER26" s="872"/>
      <c r="ES26" s="872"/>
      <c r="ET26" s="872"/>
      <c r="EU26" s="872"/>
      <c r="EV26" s="872"/>
      <c r="EW26" s="872"/>
      <c r="EX26" s="872"/>
      <c r="EY26" s="872"/>
      <c r="EZ26" s="872"/>
      <c r="FA26" s="872"/>
      <c r="FB26" s="872"/>
      <c r="FC26" s="872"/>
      <c r="FD26" s="872"/>
      <c r="FE26" s="872"/>
      <c r="FF26" s="872"/>
      <c r="FG26" s="872"/>
      <c r="FH26" s="872"/>
      <c r="FI26" s="872"/>
      <c r="FJ26" s="872"/>
      <c r="FK26" s="872"/>
      <c r="FL26" s="872"/>
      <c r="FM26" s="872"/>
      <c r="FN26" s="872"/>
      <c r="FO26" s="872"/>
      <c r="FP26" s="872"/>
      <c r="FQ26" s="872"/>
      <c r="FR26" s="872"/>
      <c r="FS26" s="872"/>
      <c r="FT26" s="872"/>
      <c r="FU26" s="872"/>
      <c r="FV26" s="872"/>
      <c r="FW26" s="872"/>
      <c r="FX26" s="872"/>
      <c r="FY26" s="872"/>
      <c r="FZ26" s="872"/>
      <c r="GA26" s="872"/>
      <c r="GB26" s="872"/>
      <c r="GC26" s="872"/>
      <c r="GD26" s="872"/>
      <c r="GE26" s="872"/>
      <c r="GF26" s="872"/>
      <c r="GG26" s="872"/>
      <c r="GH26" s="872"/>
      <c r="GI26" s="872"/>
      <c r="GJ26" s="872"/>
      <c r="GK26" s="872"/>
      <c r="GL26" s="872"/>
      <c r="GM26" s="872"/>
      <c r="GN26" s="872"/>
      <c r="GO26" s="872"/>
      <c r="GP26" s="872"/>
      <c r="GQ26" s="872"/>
      <c r="GR26" s="872"/>
      <c r="GS26" s="872"/>
      <c r="GT26" s="872"/>
      <c r="GU26" s="872"/>
      <c r="GV26" s="872"/>
      <c r="GW26" s="872"/>
      <c r="GX26" s="872"/>
      <c r="GY26" s="872"/>
      <c r="GZ26" s="872"/>
      <c r="HA26" s="872"/>
      <c r="HB26" s="872"/>
      <c r="HC26" s="872"/>
      <c r="HD26" s="872"/>
      <c r="HE26" s="872"/>
      <c r="HF26" s="872"/>
      <c r="HG26" s="872"/>
      <c r="HH26" s="872"/>
      <c r="HI26" s="872"/>
      <c r="HJ26" s="872"/>
      <c r="HK26" s="872"/>
      <c r="HL26" s="872"/>
      <c r="HM26" s="872"/>
      <c r="HN26" s="872"/>
      <c r="HO26" s="872"/>
      <c r="HP26" s="872"/>
      <c r="HQ26" s="872"/>
      <c r="HR26" s="872"/>
      <c r="HS26" s="872"/>
      <c r="HT26" s="872"/>
      <c r="HU26" s="872"/>
      <c r="HV26" s="872"/>
      <c r="HW26" s="872"/>
      <c r="HX26" s="872"/>
      <c r="HY26" s="872"/>
      <c r="HZ26" s="872"/>
      <c r="IA26" s="872"/>
      <c r="IB26" s="872"/>
      <c r="IC26" s="872"/>
      <c r="ID26" s="872"/>
      <c r="IE26" s="872"/>
      <c r="IF26" s="872"/>
      <c r="IG26" s="872"/>
      <c r="IH26" s="872"/>
      <c r="II26" s="872"/>
      <c r="IJ26" s="872"/>
      <c r="IK26" s="872"/>
      <c r="IL26" s="872"/>
      <c r="IM26" s="872"/>
      <c r="IN26" s="872"/>
      <c r="IO26" s="872"/>
      <c r="IP26" s="872"/>
      <c r="IQ26" s="872"/>
      <c r="IR26" s="872"/>
      <c r="IS26" s="872"/>
      <c r="IT26" s="872"/>
      <c r="IU26" s="872"/>
      <c r="IV26" s="872"/>
    </row>
    <row r="27" spans="1:256" s="78" customFormat="1" ht="12.75" customHeight="1">
      <c r="A27" s="277" t="s">
        <v>68</v>
      </c>
      <c r="B27" s="276" t="s">
        <v>13</v>
      </c>
      <c r="C27" s="273">
        <v>9136370</v>
      </c>
      <c r="D27" s="273">
        <v>0</v>
      </c>
      <c r="E27" s="273">
        <v>0</v>
      </c>
      <c r="F27" s="273"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2.75" customHeight="1">
      <c r="A28" s="272" t="s">
        <v>70</v>
      </c>
      <c r="B28" s="276" t="s">
        <v>189</v>
      </c>
      <c r="C28" s="273">
        <v>1507008</v>
      </c>
      <c r="D28" s="273">
        <v>0</v>
      </c>
      <c r="E28" s="273">
        <f>SUM('ÖNK ÖSSZESITŐ'!H13+'ÖNK ÖSSZESITŐ'!H24+'ÖNK ÖSSZESITŐ'!H40)</f>
        <v>1485800</v>
      </c>
      <c r="F28" s="273">
        <f>SUM('ÖNK ÖSSZESITŐ'!I13+'ÖNK ÖSSZESITŐ'!I24+'ÖNK ÖSSZESITŐ'!I40)</f>
        <v>1485800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272" t="s">
        <v>97</v>
      </c>
      <c r="B29" s="276" t="s">
        <v>801</v>
      </c>
      <c r="C29" s="273">
        <v>800000</v>
      </c>
      <c r="D29" s="273"/>
      <c r="E29" s="273"/>
      <c r="F29" s="27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07" customFormat="1" ht="12.75" customHeight="1">
      <c r="A30" s="876" t="s">
        <v>99</v>
      </c>
      <c r="B30" s="877" t="s">
        <v>761</v>
      </c>
      <c r="C30" s="878">
        <f>SUM(C11+C12+C13+C19+C27+C28)+C29</f>
        <v>1137018551</v>
      </c>
      <c r="D30" s="878">
        <f>SUM(D11+D12+D13+D19+D27+D28)</f>
        <v>374700000</v>
      </c>
      <c r="E30" s="878">
        <f>SUM(E11+E12+E13+E19+E27+E28)</f>
        <v>376185800</v>
      </c>
      <c r="F30" s="878">
        <f>SUM(F11+F12+F13+F19+F27+F28)</f>
        <v>376185800</v>
      </c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79"/>
      <c r="Y30" s="879"/>
      <c r="Z30" s="879"/>
      <c r="AA30" s="879"/>
      <c r="AB30" s="879"/>
      <c r="AC30" s="879"/>
      <c r="AD30" s="879"/>
      <c r="AE30" s="879"/>
      <c r="AF30" s="879"/>
      <c r="AG30" s="879"/>
      <c r="AH30" s="879"/>
      <c r="AI30" s="879"/>
      <c r="AJ30" s="879"/>
      <c r="AK30" s="879"/>
      <c r="AL30" s="879"/>
      <c r="AM30" s="879"/>
      <c r="AN30" s="879"/>
      <c r="AO30" s="879"/>
      <c r="AP30" s="879"/>
      <c r="AQ30" s="879"/>
      <c r="AR30" s="879"/>
      <c r="AS30" s="879"/>
      <c r="AT30" s="879"/>
      <c r="AU30" s="879"/>
      <c r="AV30" s="879"/>
      <c r="AW30" s="879"/>
      <c r="AX30" s="879"/>
      <c r="AY30" s="879"/>
      <c r="AZ30" s="879"/>
      <c r="BA30" s="879"/>
      <c r="BB30" s="879"/>
      <c r="BC30" s="879"/>
      <c r="BD30" s="879"/>
      <c r="BE30" s="879"/>
      <c r="BF30" s="879"/>
      <c r="BG30" s="879"/>
      <c r="BH30" s="879"/>
      <c r="BI30" s="879"/>
      <c r="BJ30" s="879"/>
      <c r="BK30" s="879"/>
      <c r="BL30" s="879"/>
      <c r="BM30" s="879"/>
      <c r="BN30" s="879"/>
      <c r="BO30" s="879"/>
      <c r="BP30" s="879"/>
      <c r="BQ30" s="879"/>
      <c r="BR30" s="879"/>
      <c r="BS30" s="879"/>
      <c r="BT30" s="879"/>
      <c r="BU30" s="879"/>
      <c r="BV30" s="879"/>
      <c r="BW30" s="879"/>
      <c r="BX30" s="879"/>
      <c r="BY30" s="879"/>
      <c r="BZ30" s="879"/>
      <c r="CA30" s="879"/>
      <c r="CB30" s="879"/>
      <c r="CC30" s="879"/>
      <c r="CD30" s="879"/>
      <c r="CE30" s="879"/>
      <c r="CF30" s="879"/>
      <c r="CG30" s="879"/>
      <c r="CH30" s="879"/>
      <c r="CI30" s="879"/>
      <c r="CJ30" s="879"/>
      <c r="CK30" s="879"/>
      <c r="CL30" s="879"/>
      <c r="CM30" s="879"/>
      <c r="CN30" s="879"/>
      <c r="CO30" s="879"/>
      <c r="CP30" s="879"/>
      <c r="CQ30" s="879"/>
      <c r="CR30" s="879"/>
      <c r="CS30" s="879"/>
      <c r="CT30" s="879"/>
      <c r="CU30" s="879"/>
      <c r="CV30" s="879"/>
      <c r="CW30" s="879"/>
      <c r="CX30" s="879"/>
      <c r="CY30" s="879"/>
      <c r="CZ30" s="879"/>
      <c r="DA30" s="879"/>
      <c r="DB30" s="879"/>
      <c r="DC30" s="879"/>
      <c r="DD30" s="879"/>
      <c r="DE30" s="879"/>
      <c r="DF30" s="879"/>
      <c r="DG30" s="879"/>
      <c r="DH30" s="879"/>
      <c r="DI30" s="879"/>
      <c r="DJ30" s="879"/>
      <c r="DK30" s="879"/>
      <c r="DL30" s="879"/>
      <c r="DM30" s="879"/>
      <c r="DN30" s="879"/>
      <c r="DO30" s="879"/>
      <c r="DP30" s="879"/>
      <c r="DQ30" s="879"/>
      <c r="DR30" s="879"/>
      <c r="DS30" s="879"/>
      <c r="DT30" s="879"/>
      <c r="DU30" s="879"/>
      <c r="DV30" s="879"/>
      <c r="DW30" s="879"/>
      <c r="DX30" s="879"/>
      <c r="DY30" s="879"/>
      <c r="DZ30" s="879"/>
      <c r="EA30" s="879"/>
      <c r="EB30" s="879"/>
      <c r="EC30" s="879"/>
      <c r="ED30" s="879"/>
      <c r="EE30" s="879"/>
      <c r="EF30" s="879"/>
      <c r="EG30" s="879"/>
      <c r="EH30" s="879"/>
      <c r="EI30" s="879"/>
      <c r="EJ30" s="879"/>
      <c r="EK30" s="879"/>
      <c r="EL30" s="879"/>
      <c r="EM30" s="879"/>
      <c r="EN30" s="879"/>
      <c r="EO30" s="879"/>
      <c r="EP30" s="879"/>
      <c r="EQ30" s="879"/>
      <c r="ER30" s="879"/>
      <c r="ES30" s="879"/>
      <c r="ET30" s="879"/>
      <c r="EU30" s="879"/>
      <c r="EV30" s="879"/>
      <c r="EW30" s="879"/>
      <c r="EX30" s="879"/>
      <c r="EY30" s="879"/>
      <c r="EZ30" s="879"/>
      <c r="FA30" s="879"/>
      <c r="FB30" s="879"/>
      <c r="FC30" s="879"/>
      <c r="FD30" s="879"/>
      <c r="FE30" s="879"/>
      <c r="FF30" s="879"/>
      <c r="FG30" s="879"/>
      <c r="FH30" s="879"/>
      <c r="FI30" s="879"/>
      <c r="FJ30" s="879"/>
      <c r="FK30" s="879"/>
      <c r="FL30" s="879"/>
      <c r="FM30" s="879"/>
      <c r="FN30" s="879"/>
      <c r="FO30" s="879"/>
      <c r="FP30" s="879"/>
      <c r="FQ30" s="879"/>
      <c r="FR30" s="879"/>
      <c r="FS30" s="879"/>
      <c r="FT30" s="879"/>
      <c r="FU30" s="879"/>
      <c r="FV30" s="879"/>
      <c r="FW30" s="879"/>
      <c r="FX30" s="879"/>
      <c r="FY30" s="879"/>
      <c r="FZ30" s="879"/>
      <c r="GA30" s="879"/>
      <c r="GB30" s="879"/>
      <c r="GC30" s="879"/>
      <c r="GD30" s="879"/>
      <c r="GE30" s="879"/>
      <c r="GF30" s="879"/>
      <c r="GG30" s="879"/>
      <c r="GH30" s="879"/>
      <c r="GI30" s="879"/>
      <c r="GJ30" s="879"/>
      <c r="GK30" s="879"/>
      <c r="GL30" s="879"/>
      <c r="GM30" s="879"/>
      <c r="GN30" s="879"/>
      <c r="GO30" s="879"/>
      <c r="GP30" s="879"/>
      <c r="GQ30" s="879"/>
      <c r="GR30" s="879"/>
      <c r="GS30" s="879"/>
      <c r="GT30" s="879"/>
      <c r="GU30" s="879"/>
      <c r="GV30" s="879"/>
      <c r="GW30" s="879"/>
      <c r="GX30" s="879"/>
      <c r="GY30" s="879"/>
      <c r="GZ30" s="879"/>
      <c r="HA30" s="879"/>
      <c r="HB30" s="879"/>
      <c r="HC30" s="879"/>
      <c r="HD30" s="879"/>
      <c r="HE30" s="879"/>
      <c r="HF30" s="879"/>
      <c r="HG30" s="879"/>
      <c r="HH30" s="879"/>
      <c r="HI30" s="879"/>
      <c r="HJ30" s="879"/>
      <c r="HK30" s="879"/>
      <c r="HL30" s="879"/>
      <c r="HM30" s="879"/>
      <c r="HN30" s="879"/>
      <c r="HO30" s="879"/>
      <c r="HP30" s="879"/>
      <c r="HQ30" s="879"/>
      <c r="HR30" s="879"/>
      <c r="HS30" s="879"/>
      <c r="HT30" s="879"/>
      <c r="HU30" s="879"/>
      <c r="HV30" s="879"/>
      <c r="HW30" s="879"/>
      <c r="HX30" s="879"/>
      <c r="HY30" s="879"/>
      <c r="HZ30" s="879"/>
      <c r="IA30" s="879"/>
      <c r="IB30" s="879"/>
      <c r="IC30" s="879"/>
      <c r="ID30" s="879"/>
      <c r="IE30" s="879"/>
      <c r="IF30" s="879"/>
      <c r="IG30" s="879"/>
      <c r="IH30" s="879"/>
      <c r="II30" s="879"/>
      <c r="IJ30" s="879"/>
      <c r="IK30" s="879"/>
      <c r="IL30" s="879"/>
      <c r="IM30" s="879"/>
      <c r="IN30" s="879"/>
      <c r="IO30" s="879"/>
      <c r="IP30" s="879"/>
      <c r="IQ30" s="879"/>
      <c r="IR30" s="879"/>
      <c r="IS30" s="879"/>
      <c r="IT30" s="879"/>
      <c r="IU30" s="879"/>
      <c r="IV30" s="879"/>
    </row>
    <row r="31" spans="1:256" ht="12.75" customHeight="1">
      <c r="A31" s="275" t="s">
        <v>101</v>
      </c>
      <c r="B31" s="274" t="s">
        <v>224</v>
      </c>
      <c r="C31" s="253">
        <f>SUM('19 önkormányzat'!F49)</f>
        <v>0</v>
      </c>
      <c r="D31" s="253">
        <v>0</v>
      </c>
      <c r="E31" s="253">
        <v>0</v>
      </c>
      <c r="F31" s="253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268" t="s">
        <v>103</v>
      </c>
      <c r="B32" s="274" t="s">
        <v>225</v>
      </c>
      <c r="C32" s="253">
        <v>52133712</v>
      </c>
      <c r="D32" s="253">
        <v>0</v>
      </c>
      <c r="E32" s="253">
        <v>0</v>
      </c>
      <c r="F32" s="253"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6" s="1" customFormat="1" ht="12.75" customHeight="1">
      <c r="A33" s="268" t="s">
        <v>105</v>
      </c>
      <c r="B33" s="274" t="s">
        <v>226</v>
      </c>
      <c r="C33" s="883">
        <v>10623632</v>
      </c>
      <c r="D33" s="883">
        <v>0</v>
      </c>
      <c r="E33" s="883">
        <v>0</v>
      </c>
      <c r="F33" s="883">
        <v>0</v>
      </c>
    </row>
    <row r="34" spans="1:6" s="879" customFormat="1" ht="12.75" customHeight="1">
      <c r="A34" s="851" t="s">
        <v>107</v>
      </c>
      <c r="B34" s="877" t="s">
        <v>546</v>
      </c>
      <c r="C34" s="878">
        <f>SUM(C31:C33)</f>
        <v>62757344</v>
      </c>
      <c r="D34" s="878">
        <f>SUM(D31:D33)</f>
        <v>0</v>
      </c>
      <c r="E34" s="878">
        <f>SUM(E31:E33)</f>
        <v>0</v>
      </c>
      <c r="F34" s="878">
        <v>0</v>
      </c>
    </row>
    <row r="35" spans="1:256" s="177" customFormat="1" ht="15.75">
      <c r="A35" s="880" t="s">
        <v>109</v>
      </c>
      <c r="B35" s="881" t="s">
        <v>116</v>
      </c>
      <c r="C35" s="882">
        <f>SUM(C30+C34)</f>
        <v>1199775895</v>
      </c>
      <c r="D35" s="882">
        <f>SUM(D30+D34)</f>
        <v>374700000</v>
      </c>
      <c r="E35" s="882">
        <f>SUM(E30+E34)</f>
        <v>376185800</v>
      </c>
      <c r="F35" s="882">
        <f>SUM(F30+F34)</f>
        <v>376185800</v>
      </c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551"/>
      <c r="BB35" s="551"/>
      <c r="BC35" s="551"/>
      <c r="BD35" s="551"/>
      <c r="BE35" s="551"/>
      <c r="BF35" s="551"/>
      <c r="BG35" s="551"/>
      <c r="BH35" s="551"/>
      <c r="BI35" s="551"/>
      <c r="BJ35" s="551"/>
      <c r="BK35" s="551"/>
      <c r="BL35" s="551"/>
      <c r="BM35" s="551"/>
      <c r="BN35" s="551"/>
      <c r="BO35" s="551"/>
      <c r="BP35" s="551"/>
      <c r="BQ35" s="551"/>
      <c r="BR35" s="551"/>
      <c r="BS35" s="551"/>
      <c r="BT35" s="551"/>
      <c r="BU35" s="551"/>
      <c r="BV35" s="551"/>
      <c r="BW35" s="551"/>
      <c r="BX35" s="551"/>
      <c r="BY35" s="551"/>
      <c r="BZ35" s="551"/>
      <c r="CA35" s="551"/>
      <c r="CB35" s="551"/>
      <c r="CC35" s="551"/>
      <c r="CD35" s="551"/>
      <c r="CE35" s="551"/>
      <c r="CF35" s="551"/>
      <c r="CG35" s="551"/>
      <c r="CH35" s="551"/>
      <c r="CI35" s="551"/>
      <c r="CJ35" s="551"/>
      <c r="CK35" s="551"/>
      <c r="CL35" s="551"/>
      <c r="CM35" s="551"/>
      <c r="CN35" s="551"/>
      <c r="CO35" s="551"/>
      <c r="CP35" s="551"/>
      <c r="CQ35" s="551"/>
      <c r="CR35" s="551"/>
      <c r="CS35" s="551"/>
      <c r="CT35" s="551"/>
      <c r="CU35" s="551"/>
      <c r="CV35" s="551"/>
      <c r="CW35" s="551"/>
      <c r="CX35" s="551"/>
      <c r="CY35" s="551"/>
      <c r="CZ35" s="551"/>
      <c r="DA35" s="551"/>
      <c r="DB35" s="551"/>
      <c r="DC35" s="551"/>
      <c r="DD35" s="551"/>
      <c r="DE35" s="551"/>
      <c r="DF35" s="551"/>
      <c r="DG35" s="551"/>
      <c r="DH35" s="551"/>
      <c r="DI35" s="551"/>
      <c r="DJ35" s="551"/>
      <c r="DK35" s="551"/>
      <c r="DL35" s="551"/>
      <c r="DM35" s="551"/>
      <c r="DN35" s="551"/>
      <c r="DO35" s="551"/>
      <c r="DP35" s="551"/>
      <c r="DQ35" s="551"/>
      <c r="DR35" s="551"/>
      <c r="DS35" s="551"/>
      <c r="DT35" s="551"/>
      <c r="DU35" s="551"/>
      <c r="DV35" s="551"/>
      <c r="DW35" s="551"/>
      <c r="DX35" s="551"/>
      <c r="DY35" s="551"/>
      <c r="DZ35" s="551"/>
      <c r="EA35" s="551"/>
      <c r="EB35" s="551"/>
      <c r="EC35" s="551"/>
      <c r="ED35" s="551"/>
      <c r="EE35" s="551"/>
      <c r="EF35" s="551"/>
      <c r="EG35" s="551"/>
      <c r="EH35" s="551"/>
      <c r="EI35" s="551"/>
      <c r="EJ35" s="551"/>
      <c r="EK35" s="551"/>
      <c r="EL35" s="551"/>
      <c r="EM35" s="551"/>
      <c r="EN35" s="551"/>
      <c r="EO35" s="551"/>
      <c r="EP35" s="551"/>
      <c r="EQ35" s="551"/>
      <c r="ER35" s="551"/>
      <c r="ES35" s="551"/>
      <c r="ET35" s="551"/>
      <c r="EU35" s="551"/>
      <c r="EV35" s="551"/>
      <c r="EW35" s="551"/>
      <c r="EX35" s="551"/>
      <c r="EY35" s="551"/>
      <c r="EZ35" s="551"/>
      <c r="FA35" s="551"/>
      <c r="FB35" s="551"/>
      <c r="FC35" s="551"/>
      <c r="FD35" s="551"/>
      <c r="FE35" s="551"/>
      <c r="FF35" s="551"/>
      <c r="FG35" s="551"/>
      <c r="FH35" s="551"/>
      <c r="FI35" s="551"/>
      <c r="FJ35" s="551"/>
      <c r="FK35" s="551"/>
      <c r="FL35" s="551"/>
      <c r="FM35" s="551"/>
      <c r="FN35" s="551"/>
      <c r="FO35" s="551"/>
      <c r="FP35" s="551"/>
      <c r="FQ35" s="551"/>
      <c r="FR35" s="551"/>
      <c r="FS35" s="551"/>
      <c r="FT35" s="551"/>
      <c r="FU35" s="551"/>
      <c r="FV35" s="551"/>
      <c r="FW35" s="551"/>
      <c r="FX35" s="551"/>
      <c r="FY35" s="551"/>
      <c r="FZ35" s="551"/>
      <c r="GA35" s="551"/>
      <c r="GB35" s="551"/>
      <c r="GC35" s="551"/>
      <c r="GD35" s="551"/>
      <c r="GE35" s="551"/>
      <c r="GF35" s="551"/>
      <c r="GG35" s="551"/>
      <c r="GH35" s="551"/>
      <c r="GI35" s="551"/>
      <c r="GJ35" s="551"/>
      <c r="GK35" s="551"/>
      <c r="GL35" s="551"/>
      <c r="GM35" s="551"/>
      <c r="GN35" s="551"/>
      <c r="GO35" s="551"/>
      <c r="GP35" s="551"/>
      <c r="GQ35" s="551"/>
      <c r="GR35" s="551"/>
      <c r="GS35" s="551"/>
      <c r="GT35" s="551"/>
      <c r="GU35" s="551"/>
      <c r="GV35" s="551"/>
      <c r="GW35" s="551"/>
      <c r="GX35" s="551"/>
      <c r="GY35" s="551"/>
      <c r="GZ35" s="551"/>
      <c r="HA35" s="551"/>
      <c r="HB35" s="551"/>
      <c r="HC35" s="551"/>
      <c r="HD35" s="551"/>
      <c r="HE35" s="551"/>
      <c r="HF35" s="551"/>
      <c r="HG35" s="551"/>
      <c r="HH35" s="551"/>
      <c r="HI35" s="551"/>
      <c r="HJ35" s="551"/>
      <c r="HK35" s="551"/>
      <c r="HL35" s="551"/>
      <c r="HM35" s="551"/>
      <c r="HN35" s="551"/>
      <c r="HO35" s="551"/>
      <c r="HP35" s="551"/>
      <c r="HQ35" s="551"/>
      <c r="HR35" s="551"/>
      <c r="HS35" s="551"/>
      <c r="HT35" s="551"/>
      <c r="HU35" s="551"/>
      <c r="HV35" s="551"/>
      <c r="HW35" s="551"/>
      <c r="HX35" s="551"/>
      <c r="HY35" s="551"/>
      <c r="HZ35" s="551"/>
      <c r="IA35" s="551"/>
      <c r="IB35" s="551"/>
      <c r="IC35" s="551"/>
      <c r="ID35" s="551"/>
      <c r="IE35" s="551"/>
      <c r="IF35" s="551"/>
      <c r="IG35" s="551"/>
      <c r="IH35" s="551"/>
      <c r="II35" s="551"/>
      <c r="IJ35" s="551"/>
      <c r="IK35" s="551"/>
      <c r="IL35" s="551"/>
      <c r="IM35" s="551"/>
      <c r="IN35" s="551"/>
      <c r="IO35" s="551"/>
      <c r="IP35" s="551"/>
      <c r="IQ35" s="551"/>
      <c r="IR35" s="551"/>
      <c r="IS35" s="551"/>
      <c r="IT35" s="551"/>
      <c r="IU35" s="551"/>
      <c r="IV35" s="551"/>
    </row>
    <row r="36" spans="1:256" ht="12.75" customHeight="1">
      <c r="A36" s="268" t="s">
        <v>111</v>
      </c>
      <c r="B36" s="274" t="s">
        <v>121</v>
      </c>
      <c r="C36" s="253">
        <v>208946160</v>
      </c>
      <c r="D36" s="253">
        <v>205000000</v>
      </c>
      <c r="E36" s="253">
        <v>205000000</v>
      </c>
      <c r="F36" s="253">
        <v>205000000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268" t="s">
        <v>109</v>
      </c>
      <c r="B37" s="274" t="s">
        <v>123</v>
      </c>
      <c r="C37" s="253">
        <v>46468229</v>
      </c>
      <c r="D37" s="253">
        <v>44000000</v>
      </c>
      <c r="E37" s="253">
        <v>44000000</v>
      </c>
      <c r="F37" s="253">
        <v>44000000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268" t="s">
        <v>111</v>
      </c>
      <c r="B38" s="274" t="s">
        <v>125</v>
      </c>
      <c r="C38" s="253">
        <v>139170107</v>
      </c>
      <c r="D38" s="253">
        <v>92200000</v>
      </c>
      <c r="E38" s="253">
        <v>92200000</v>
      </c>
      <c r="F38" s="253">
        <v>92200000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268" t="s">
        <v>113</v>
      </c>
      <c r="B39" s="274" t="s">
        <v>127</v>
      </c>
      <c r="C39" s="253">
        <v>33983308</v>
      </c>
      <c r="D39" s="253">
        <v>30000000</v>
      </c>
      <c r="E39" s="253">
        <v>30000000</v>
      </c>
      <c r="F39" s="253">
        <v>30000000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268" t="s">
        <v>115</v>
      </c>
      <c r="B40" s="274" t="s">
        <v>1130</v>
      </c>
      <c r="C40" s="253">
        <v>4659500</v>
      </c>
      <c r="D40" s="253">
        <v>3500000</v>
      </c>
      <c r="E40" s="253">
        <v>3500000</v>
      </c>
      <c r="F40" s="253">
        <v>3500000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52" customFormat="1" ht="12.75" customHeight="1">
      <c r="A41" s="268" t="s">
        <v>117</v>
      </c>
      <c r="B41" s="274" t="s">
        <v>150</v>
      </c>
      <c r="C41" s="883">
        <v>715261087</v>
      </c>
      <c r="D41" s="883">
        <v>0</v>
      </c>
      <c r="E41" s="883">
        <v>0</v>
      </c>
      <c r="F41" s="883"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52" customFormat="1" ht="12.75" customHeight="1">
      <c r="A42" s="268" t="s">
        <v>118</v>
      </c>
      <c r="B42" s="274" t="s">
        <v>521</v>
      </c>
      <c r="C42" s="883">
        <v>53488</v>
      </c>
      <c r="D42" s="883"/>
      <c r="E42" s="883"/>
      <c r="F42" s="88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52" customFormat="1" ht="12.75" customHeight="1">
      <c r="A43" s="268" t="s">
        <v>120</v>
      </c>
      <c r="B43" s="274" t="s">
        <v>15</v>
      </c>
      <c r="C43" s="883">
        <f>SUM(23294331+17618312)</f>
        <v>40912643</v>
      </c>
      <c r="D43" s="883"/>
      <c r="E43" s="883">
        <v>0</v>
      </c>
      <c r="F43" s="883"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81" customFormat="1" ht="12.75" customHeight="1">
      <c r="A44" s="884" t="s">
        <v>122</v>
      </c>
      <c r="B44" s="877" t="s">
        <v>762</v>
      </c>
      <c r="C44" s="878">
        <f>SUM(C36:C43)</f>
        <v>1189454522</v>
      </c>
      <c r="D44" s="878">
        <f>SUM(D36:D43)</f>
        <v>374700000</v>
      </c>
      <c r="E44" s="878">
        <f>SUM(E36,E37,E38,E39,E40,)</f>
        <v>374700000</v>
      </c>
      <c r="F44" s="878">
        <f>SUM(F36,F37,F38,F39,F40,)</f>
        <v>374700000</v>
      </c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  <c r="IV44" s="114"/>
    </row>
    <row r="45" spans="1:6" s="1" customFormat="1" ht="28.5" customHeight="1">
      <c r="A45" s="885" t="s">
        <v>124</v>
      </c>
      <c r="B45" s="886" t="s">
        <v>287</v>
      </c>
      <c r="C45" s="887">
        <v>10321373</v>
      </c>
      <c r="D45" s="887">
        <v>0</v>
      </c>
      <c r="E45" s="887">
        <v>0</v>
      </c>
      <c r="F45" s="887">
        <v>0</v>
      </c>
    </row>
    <row r="46" spans="1:6" s="107" customFormat="1" ht="15">
      <c r="A46" s="891" t="s">
        <v>126</v>
      </c>
      <c r="B46" s="892" t="s">
        <v>213</v>
      </c>
      <c r="C46" s="892">
        <f>SUM(C45)</f>
        <v>10321373</v>
      </c>
      <c r="D46" s="892">
        <f>SUM(D45)</f>
        <v>0</v>
      </c>
      <c r="E46" s="892">
        <f>SUM(E45)</f>
        <v>0</v>
      </c>
      <c r="F46" s="892">
        <f>SUM(F45)</f>
        <v>0</v>
      </c>
    </row>
    <row r="47" spans="1:256" s="177" customFormat="1" ht="15.75">
      <c r="A47" s="888" t="s">
        <v>128</v>
      </c>
      <c r="B47" s="889" t="s">
        <v>787</v>
      </c>
      <c r="C47" s="890">
        <f>SUM(C44+C46)</f>
        <v>1199775895</v>
      </c>
      <c r="D47" s="890">
        <f>SUM(D44+D46)</f>
        <v>374700000</v>
      </c>
      <c r="E47" s="890">
        <f>SUM(E44+E46)</f>
        <v>374700000</v>
      </c>
      <c r="F47" s="890">
        <f>SUM(F44+F46)</f>
        <v>374700000</v>
      </c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  <c r="AZ47" s="551"/>
      <c r="BA47" s="551"/>
      <c r="BB47" s="551"/>
      <c r="BC47" s="551"/>
      <c r="BD47" s="551"/>
      <c r="BE47" s="551"/>
      <c r="BF47" s="551"/>
      <c r="BG47" s="551"/>
      <c r="BH47" s="551"/>
      <c r="BI47" s="551"/>
      <c r="BJ47" s="551"/>
      <c r="BK47" s="551"/>
      <c r="BL47" s="551"/>
      <c r="BM47" s="551"/>
      <c r="BN47" s="551"/>
      <c r="BO47" s="551"/>
      <c r="BP47" s="551"/>
      <c r="BQ47" s="551"/>
      <c r="BR47" s="551"/>
      <c r="BS47" s="551"/>
      <c r="BT47" s="551"/>
      <c r="BU47" s="551"/>
      <c r="BV47" s="551"/>
      <c r="BW47" s="551"/>
      <c r="BX47" s="551"/>
      <c r="BY47" s="551"/>
      <c r="BZ47" s="551"/>
      <c r="CA47" s="551"/>
      <c r="CB47" s="551"/>
      <c r="CC47" s="551"/>
      <c r="CD47" s="551"/>
      <c r="CE47" s="551"/>
      <c r="CF47" s="551"/>
      <c r="CG47" s="551"/>
      <c r="CH47" s="551"/>
      <c r="CI47" s="551"/>
      <c r="CJ47" s="551"/>
      <c r="CK47" s="551"/>
      <c r="CL47" s="551"/>
      <c r="CM47" s="551"/>
      <c r="CN47" s="551"/>
      <c r="CO47" s="551"/>
      <c r="CP47" s="551"/>
      <c r="CQ47" s="551"/>
      <c r="CR47" s="551"/>
      <c r="CS47" s="551"/>
      <c r="CT47" s="551"/>
      <c r="CU47" s="551"/>
      <c r="CV47" s="551"/>
      <c r="CW47" s="551"/>
      <c r="CX47" s="551"/>
      <c r="CY47" s="551"/>
      <c r="CZ47" s="551"/>
      <c r="DA47" s="551"/>
      <c r="DB47" s="551"/>
      <c r="DC47" s="551"/>
      <c r="DD47" s="551"/>
      <c r="DE47" s="551"/>
      <c r="DF47" s="551"/>
      <c r="DG47" s="551"/>
      <c r="DH47" s="551"/>
      <c r="DI47" s="551"/>
      <c r="DJ47" s="551"/>
      <c r="DK47" s="551"/>
      <c r="DL47" s="551"/>
      <c r="DM47" s="551"/>
      <c r="DN47" s="551"/>
      <c r="DO47" s="551"/>
      <c r="DP47" s="551"/>
      <c r="DQ47" s="551"/>
      <c r="DR47" s="551"/>
      <c r="DS47" s="551"/>
      <c r="DT47" s="551"/>
      <c r="DU47" s="551"/>
      <c r="DV47" s="551"/>
      <c r="DW47" s="551"/>
      <c r="DX47" s="551"/>
      <c r="DY47" s="551"/>
      <c r="DZ47" s="551"/>
      <c r="EA47" s="551"/>
      <c r="EB47" s="551"/>
      <c r="EC47" s="551"/>
      <c r="ED47" s="551"/>
      <c r="EE47" s="551"/>
      <c r="EF47" s="551"/>
      <c r="EG47" s="551"/>
      <c r="EH47" s="551"/>
      <c r="EI47" s="551"/>
      <c r="EJ47" s="551"/>
      <c r="EK47" s="551"/>
      <c r="EL47" s="551"/>
      <c r="EM47" s="551"/>
      <c r="EN47" s="551"/>
      <c r="EO47" s="551"/>
      <c r="EP47" s="551"/>
      <c r="EQ47" s="551"/>
      <c r="ER47" s="551"/>
      <c r="ES47" s="551"/>
      <c r="ET47" s="551"/>
      <c r="EU47" s="551"/>
      <c r="EV47" s="551"/>
      <c r="EW47" s="551"/>
      <c r="EX47" s="551"/>
      <c r="EY47" s="551"/>
      <c r="EZ47" s="551"/>
      <c r="FA47" s="551"/>
      <c r="FB47" s="551"/>
      <c r="FC47" s="551"/>
      <c r="FD47" s="551"/>
      <c r="FE47" s="551"/>
      <c r="FF47" s="551"/>
      <c r="FG47" s="551"/>
      <c r="FH47" s="551"/>
      <c r="FI47" s="551"/>
      <c r="FJ47" s="551"/>
      <c r="FK47" s="551"/>
      <c r="FL47" s="551"/>
      <c r="FM47" s="551"/>
      <c r="FN47" s="551"/>
      <c r="FO47" s="551"/>
      <c r="FP47" s="551"/>
      <c r="FQ47" s="551"/>
      <c r="FR47" s="551"/>
      <c r="FS47" s="551"/>
      <c r="FT47" s="551"/>
      <c r="FU47" s="551"/>
      <c r="FV47" s="551"/>
      <c r="FW47" s="551"/>
      <c r="FX47" s="551"/>
      <c r="FY47" s="551"/>
      <c r="FZ47" s="551"/>
      <c r="GA47" s="551"/>
      <c r="GB47" s="551"/>
      <c r="GC47" s="551"/>
      <c r="GD47" s="551"/>
      <c r="GE47" s="551"/>
      <c r="GF47" s="551"/>
      <c r="GG47" s="551"/>
      <c r="GH47" s="551"/>
      <c r="GI47" s="551"/>
      <c r="GJ47" s="551"/>
      <c r="GK47" s="551"/>
      <c r="GL47" s="551"/>
      <c r="GM47" s="551"/>
      <c r="GN47" s="551"/>
      <c r="GO47" s="551"/>
      <c r="GP47" s="551"/>
      <c r="GQ47" s="551"/>
      <c r="GR47" s="551"/>
      <c r="GS47" s="551"/>
      <c r="GT47" s="551"/>
      <c r="GU47" s="551"/>
      <c r="GV47" s="551"/>
      <c r="GW47" s="551"/>
      <c r="GX47" s="551"/>
      <c r="GY47" s="551"/>
      <c r="GZ47" s="551"/>
      <c r="HA47" s="551"/>
      <c r="HB47" s="551"/>
      <c r="HC47" s="551"/>
      <c r="HD47" s="551"/>
      <c r="HE47" s="551"/>
      <c r="HF47" s="551"/>
      <c r="HG47" s="551"/>
      <c r="HH47" s="551"/>
      <c r="HI47" s="551"/>
      <c r="HJ47" s="551"/>
      <c r="HK47" s="551"/>
      <c r="HL47" s="551"/>
      <c r="HM47" s="551"/>
      <c r="HN47" s="551"/>
      <c r="HO47" s="551"/>
      <c r="HP47" s="551"/>
      <c r="HQ47" s="551"/>
      <c r="HR47" s="551"/>
      <c r="HS47" s="551"/>
      <c r="HT47" s="551"/>
      <c r="HU47" s="551"/>
      <c r="HV47" s="551"/>
      <c r="HW47" s="551"/>
      <c r="HX47" s="551"/>
      <c r="HY47" s="551"/>
      <c r="HZ47" s="551"/>
      <c r="IA47" s="551"/>
      <c r="IB47" s="551"/>
      <c r="IC47" s="551"/>
      <c r="ID47" s="551"/>
      <c r="IE47" s="551"/>
      <c r="IF47" s="551"/>
      <c r="IG47" s="551"/>
      <c r="IH47" s="551"/>
      <c r="II47" s="551"/>
      <c r="IJ47" s="551"/>
      <c r="IK47" s="551"/>
      <c r="IL47" s="551"/>
      <c r="IM47" s="551"/>
      <c r="IN47" s="551"/>
      <c r="IO47" s="551"/>
      <c r="IP47" s="551"/>
      <c r="IQ47" s="551"/>
      <c r="IR47" s="551"/>
      <c r="IS47" s="551"/>
      <c r="IT47" s="551"/>
      <c r="IU47" s="551"/>
      <c r="IV47" s="551"/>
    </row>
  </sheetData>
  <sheetProtection selectLockedCells="1" selectUnlockedCells="1"/>
  <mergeCells count="7">
    <mergeCell ref="A9:A10"/>
    <mergeCell ref="A1:F1"/>
    <mergeCell ref="A2:F2"/>
    <mergeCell ref="A5:F5"/>
    <mergeCell ref="A6:F6"/>
    <mergeCell ref="D8:F8"/>
    <mergeCell ref="A3:F4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68" r:id="rId1"/>
  <headerFooter alignWithMargins="0"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N70"/>
  <sheetViews>
    <sheetView view="pageBreakPreview" zoomScaleSheetLayoutView="100" zoomScalePageLayoutView="0" workbookViewId="0" topLeftCell="A1">
      <selection activeCell="J17" sqref="I17:J17"/>
    </sheetView>
  </sheetViews>
  <sheetFormatPr defaultColWidth="11.57421875" defaultRowHeight="12.75" customHeight="1"/>
  <cols>
    <col min="1" max="1" width="3.7109375" style="117" customWidth="1"/>
    <col min="2" max="2" width="4.140625" style="117" customWidth="1"/>
    <col min="3" max="3" width="27.8515625" style="117" customWidth="1"/>
    <col min="4" max="4" width="9.00390625" style="117" customWidth="1"/>
    <col min="5" max="5" width="17.00390625" style="57" hidden="1" customWidth="1"/>
    <col min="6" max="7" width="17.8515625" style="57" customWidth="1"/>
    <col min="8" max="9" width="17.7109375" style="57" customWidth="1"/>
    <col min="10" max="10" width="18.140625" style="57" customWidth="1"/>
    <col min="11" max="11" width="19.28125" style="57" customWidth="1"/>
    <col min="12" max="16384" width="11.57421875" style="117" customWidth="1"/>
  </cols>
  <sheetData>
    <row r="1" spans="1:11" s="280" customFormat="1" ht="18" customHeight="1">
      <c r="A1" s="1773" t="s">
        <v>1150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</row>
    <row r="2" spans="1:11" ht="12.75" customHeight="1">
      <c r="A2" s="1771" t="s">
        <v>1133</v>
      </c>
      <c r="B2" s="1771"/>
      <c r="C2" s="1771"/>
      <c r="D2" s="1771"/>
      <c r="E2" s="1771"/>
      <c r="F2" s="1771"/>
      <c r="G2" s="1771"/>
      <c r="H2" s="1771"/>
      <c r="I2" s="1771"/>
      <c r="J2" s="1771"/>
      <c r="K2" s="1771"/>
    </row>
    <row r="3" spans="1:11" ht="12.75" customHeight="1">
      <c r="A3" s="1769" t="s">
        <v>1149</v>
      </c>
      <c r="B3" s="1769"/>
      <c r="C3" s="1769"/>
      <c r="D3" s="1769"/>
      <c r="E3" s="1769"/>
      <c r="F3" s="1769"/>
      <c r="G3" s="1769"/>
      <c r="H3" s="1769"/>
      <c r="I3" s="1769"/>
      <c r="J3" s="1769"/>
      <c r="K3" s="1769"/>
    </row>
    <row r="4" spans="1:11" ht="41.25" customHeight="1">
      <c r="A4" s="1772" t="s">
        <v>531</v>
      </c>
      <c r="B4" s="1772"/>
      <c r="C4" s="1772"/>
      <c r="D4" s="1772"/>
      <c r="E4" s="1772"/>
      <c r="F4" s="1772"/>
      <c r="G4" s="1772"/>
      <c r="H4" s="1772"/>
      <c r="I4" s="1772"/>
      <c r="J4" s="1772"/>
      <c r="K4" s="1772"/>
    </row>
    <row r="5" spans="5:11" ht="12.75" customHeight="1" thickBot="1">
      <c r="E5" s="281"/>
      <c r="F5" s="281"/>
      <c r="G5" s="1770" t="s">
        <v>155</v>
      </c>
      <c r="H5" s="1770"/>
      <c r="I5" s="1770"/>
      <c r="J5" s="1770"/>
      <c r="K5" s="1770"/>
    </row>
    <row r="6" spans="1:11" ht="49.5" customHeight="1" thickBot="1">
      <c r="A6" s="1764" t="s">
        <v>156</v>
      </c>
      <c r="B6" s="1765"/>
      <c r="C6" s="663" t="s">
        <v>157</v>
      </c>
      <c r="D6" s="664"/>
      <c r="E6" s="665" t="s">
        <v>158</v>
      </c>
      <c r="F6" s="666" t="s">
        <v>159</v>
      </c>
      <c r="G6" s="666" t="s">
        <v>792</v>
      </c>
      <c r="H6" s="666" t="s">
        <v>802</v>
      </c>
      <c r="I6" s="666" t="s">
        <v>888</v>
      </c>
      <c r="J6" s="666" t="s">
        <v>889</v>
      </c>
      <c r="K6" s="666" t="s">
        <v>948</v>
      </c>
    </row>
    <row r="7" spans="1:11" ht="12.75" customHeight="1" thickBot="1">
      <c r="A7" s="1766"/>
      <c r="B7" s="1767"/>
      <c r="C7" s="667" t="s">
        <v>161</v>
      </c>
      <c r="D7" s="484"/>
      <c r="E7" s="668" t="s">
        <v>162</v>
      </c>
      <c r="F7" s="669" t="s">
        <v>163</v>
      </c>
      <c r="G7" s="669" t="s">
        <v>164</v>
      </c>
      <c r="H7" s="669" t="s">
        <v>505</v>
      </c>
      <c r="I7" s="669" t="s">
        <v>525</v>
      </c>
      <c r="J7" s="669" t="s">
        <v>804</v>
      </c>
      <c r="K7" s="669" t="s">
        <v>890</v>
      </c>
    </row>
    <row r="8" spans="1:11" s="166" customFormat="1" ht="39" customHeight="1">
      <c r="A8" s="1776" t="s">
        <v>38</v>
      </c>
      <c r="B8" s="1777"/>
      <c r="C8" s="1780" t="s">
        <v>709</v>
      </c>
      <c r="D8" s="1781"/>
      <c r="E8" s="695">
        <v>20000</v>
      </c>
      <c r="F8" s="696">
        <v>0</v>
      </c>
      <c r="G8" s="696">
        <v>15000</v>
      </c>
      <c r="H8" s="696">
        <v>15000</v>
      </c>
      <c r="I8" s="696">
        <v>15000</v>
      </c>
      <c r="J8" s="696">
        <v>15000</v>
      </c>
      <c r="K8" s="696">
        <v>65000</v>
      </c>
    </row>
    <row r="9" spans="1:11" s="166" customFormat="1" ht="12.75" customHeight="1">
      <c r="A9" s="1778" t="s">
        <v>40</v>
      </c>
      <c r="B9" s="1779"/>
      <c r="C9" s="1782" t="s">
        <v>78</v>
      </c>
      <c r="D9" s="1782"/>
      <c r="E9" s="662">
        <f aca="true" t="shared" si="0" ref="E9:J9">SUM(E10:E13)</f>
        <v>1840000</v>
      </c>
      <c r="F9" s="670">
        <f t="shared" si="0"/>
        <v>1840770</v>
      </c>
      <c r="G9" s="670">
        <f t="shared" si="0"/>
        <v>1840770</v>
      </c>
      <c r="H9" s="670">
        <f t="shared" si="0"/>
        <v>1840770</v>
      </c>
      <c r="I9" s="670">
        <f t="shared" si="0"/>
        <v>1840770</v>
      </c>
      <c r="J9" s="670">
        <f t="shared" si="0"/>
        <v>1840770</v>
      </c>
      <c r="K9" s="670">
        <f>SUM(K10:K14)</f>
        <v>1410114</v>
      </c>
    </row>
    <row r="10" spans="1:11" s="660" customFormat="1" ht="12.75" customHeight="1">
      <c r="A10" s="1793" t="s">
        <v>47</v>
      </c>
      <c r="B10" s="1785"/>
      <c r="C10" s="1787" t="s">
        <v>710</v>
      </c>
      <c r="D10" s="1787"/>
      <c r="E10" s="661">
        <v>1340000</v>
      </c>
      <c r="F10" s="671">
        <v>1340000</v>
      </c>
      <c r="G10" s="671">
        <v>1340000</v>
      </c>
      <c r="H10" s="671">
        <v>1340000</v>
      </c>
      <c r="I10" s="671">
        <v>1340000</v>
      </c>
      <c r="J10" s="671">
        <v>1340000</v>
      </c>
      <c r="K10" s="671">
        <v>1010294</v>
      </c>
    </row>
    <row r="11" spans="1:11" s="660" customFormat="1" ht="12.75" customHeight="1">
      <c r="A11" s="1793" t="s">
        <v>49</v>
      </c>
      <c r="B11" s="1785"/>
      <c r="C11" s="1768" t="s">
        <v>711</v>
      </c>
      <c r="D11" s="1768"/>
      <c r="E11" s="661">
        <v>100000</v>
      </c>
      <c r="F11" s="671">
        <v>100000</v>
      </c>
      <c r="G11" s="671">
        <v>100000</v>
      </c>
      <c r="H11" s="671">
        <v>100000</v>
      </c>
      <c r="I11" s="671">
        <v>100000</v>
      </c>
      <c r="J11" s="671">
        <v>100000</v>
      </c>
      <c r="K11" s="671">
        <v>100000</v>
      </c>
    </row>
    <row r="12" spans="1:11" s="660" customFormat="1" ht="12.75" customHeight="1">
      <c r="A12" s="1793" t="s">
        <v>51</v>
      </c>
      <c r="B12" s="1785"/>
      <c r="C12" s="1768" t="s">
        <v>712</v>
      </c>
      <c r="D12" s="1768"/>
      <c r="E12" s="661">
        <v>400000</v>
      </c>
      <c r="F12" s="671">
        <v>400000</v>
      </c>
      <c r="G12" s="671">
        <v>400000</v>
      </c>
      <c r="H12" s="671">
        <v>400000</v>
      </c>
      <c r="I12" s="671">
        <v>400000</v>
      </c>
      <c r="J12" s="671">
        <v>400000</v>
      </c>
      <c r="K12" s="671">
        <v>299786</v>
      </c>
    </row>
    <row r="13" spans="1:11" s="660" customFormat="1" ht="12.75" customHeight="1">
      <c r="A13" s="1793" t="s">
        <v>53</v>
      </c>
      <c r="B13" s="1785"/>
      <c r="C13" s="1768" t="s">
        <v>713</v>
      </c>
      <c r="D13" s="1768"/>
      <c r="E13" s="661">
        <v>0</v>
      </c>
      <c r="F13" s="671">
        <v>770</v>
      </c>
      <c r="G13" s="671">
        <v>770</v>
      </c>
      <c r="H13" s="671">
        <v>770</v>
      </c>
      <c r="I13" s="671">
        <v>770</v>
      </c>
      <c r="J13" s="671">
        <v>770</v>
      </c>
      <c r="K13" s="671">
        <v>26</v>
      </c>
    </row>
    <row r="14" spans="1:11" s="660" customFormat="1" ht="12.75" customHeight="1">
      <c r="A14" s="1788" t="s">
        <v>55</v>
      </c>
      <c r="B14" s="1789"/>
      <c r="C14" s="1543" t="s">
        <v>949</v>
      </c>
      <c r="D14" s="1544"/>
      <c r="E14" s="661"/>
      <c r="F14" s="671"/>
      <c r="G14" s="671"/>
      <c r="H14" s="671"/>
      <c r="I14" s="671"/>
      <c r="J14" s="671"/>
      <c r="K14" s="671">
        <v>8</v>
      </c>
    </row>
    <row r="15" spans="1:11" s="166" customFormat="1" ht="12.75" customHeight="1">
      <c r="A15" s="1774" t="s">
        <v>57</v>
      </c>
      <c r="B15" s="1775"/>
      <c r="C15" s="1783" t="s">
        <v>189</v>
      </c>
      <c r="D15" s="1784"/>
      <c r="E15" s="662"/>
      <c r="F15" s="670">
        <v>0</v>
      </c>
      <c r="G15" s="670">
        <v>0</v>
      </c>
      <c r="H15" s="670">
        <v>0</v>
      </c>
      <c r="I15" s="670">
        <v>0</v>
      </c>
      <c r="J15" s="670">
        <v>0</v>
      </c>
      <c r="K15" s="670">
        <v>186267</v>
      </c>
    </row>
    <row r="16" spans="1:11" s="660" customFormat="1" ht="12.75" customHeight="1">
      <c r="A16" s="1788" t="s">
        <v>86</v>
      </c>
      <c r="B16" s="1789"/>
      <c r="C16" s="1790" t="s">
        <v>647</v>
      </c>
      <c r="D16" s="1791"/>
      <c r="E16" s="661"/>
      <c r="F16" s="671">
        <v>0</v>
      </c>
      <c r="G16" s="671">
        <v>0</v>
      </c>
      <c r="H16" s="671">
        <v>0</v>
      </c>
      <c r="I16" s="671">
        <v>0</v>
      </c>
      <c r="J16" s="671">
        <v>0</v>
      </c>
      <c r="K16" s="671">
        <v>186267</v>
      </c>
    </row>
    <row r="17" spans="1:11" s="166" customFormat="1" ht="12.75" customHeight="1">
      <c r="A17" s="1778" t="s">
        <v>59</v>
      </c>
      <c r="B17" s="1779"/>
      <c r="C17" s="1782" t="s">
        <v>230</v>
      </c>
      <c r="D17" s="1782"/>
      <c r="E17" s="662"/>
      <c r="F17" s="670">
        <v>0</v>
      </c>
      <c r="G17" s="670">
        <v>800000</v>
      </c>
      <c r="H17" s="670">
        <v>800000</v>
      </c>
      <c r="I17" s="670">
        <v>800000</v>
      </c>
      <c r="J17" s="670">
        <v>800000</v>
      </c>
      <c r="K17" s="670">
        <v>800000</v>
      </c>
    </row>
    <row r="18" spans="1:11" s="660" customFormat="1" ht="12.75" customHeight="1" thickBot="1">
      <c r="A18" s="1785" t="s">
        <v>61</v>
      </c>
      <c r="B18" s="1785"/>
      <c r="C18" s="1786" t="s">
        <v>714</v>
      </c>
      <c r="D18" s="1786"/>
      <c r="E18" s="661"/>
      <c r="F18" s="661">
        <v>0</v>
      </c>
      <c r="G18" s="661">
        <v>0</v>
      </c>
      <c r="H18" s="661">
        <v>0</v>
      </c>
      <c r="I18" s="661">
        <v>0</v>
      </c>
      <c r="J18" s="661">
        <v>0</v>
      </c>
      <c r="K18" s="661">
        <v>0</v>
      </c>
    </row>
    <row r="19" spans="1:11" s="674" customFormat="1" ht="18.75" customHeight="1" thickBot="1">
      <c r="A19" s="1794" t="s">
        <v>63</v>
      </c>
      <c r="B19" s="1795"/>
      <c r="C19" s="1798" t="s">
        <v>532</v>
      </c>
      <c r="D19" s="1799"/>
      <c r="E19" s="700">
        <f aca="true" t="shared" si="1" ref="E19:J19">SUM(E8+E9+E17)</f>
        <v>1860000</v>
      </c>
      <c r="F19" s="701">
        <f t="shared" si="1"/>
        <v>1840770</v>
      </c>
      <c r="G19" s="701">
        <f t="shared" si="1"/>
        <v>2655770</v>
      </c>
      <c r="H19" s="701">
        <f t="shared" si="1"/>
        <v>2655770</v>
      </c>
      <c r="I19" s="701">
        <f t="shared" si="1"/>
        <v>2655770</v>
      </c>
      <c r="J19" s="701">
        <f t="shared" si="1"/>
        <v>2655770</v>
      </c>
      <c r="K19" s="701">
        <f>SUM(K8+K9+K17)+K15</f>
        <v>2461381</v>
      </c>
    </row>
    <row r="20" spans="1:11" s="166" customFormat="1" ht="12.75" customHeight="1">
      <c r="A20" s="1796" t="s">
        <v>65</v>
      </c>
      <c r="B20" s="1797"/>
      <c r="C20" s="1800" t="s">
        <v>533</v>
      </c>
      <c r="D20" s="1801"/>
      <c r="E20" s="698">
        <f aca="true" t="shared" si="2" ref="E20:J20">SUM(E21:E22)</f>
        <v>103649000</v>
      </c>
      <c r="F20" s="699">
        <f t="shared" si="2"/>
        <v>109818500</v>
      </c>
      <c r="G20" s="699">
        <f t="shared" si="2"/>
        <v>110174204</v>
      </c>
      <c r="H20" s="699">
        <f t="shared" si="2"/>
        <v>110274895</v>
      </c>
      <c r="I20" s="699">
        <f t="shared" si="2"/>
        <v>110274895</v>
      </c>
      <c r="J20" s="699">
        <f t="shared" si="2"/>
        <v>110456516</v>
      </c>
      <c r="K20" s="699">
        <f>SUM(K21:K22)</f>
        <v>114886187</v>
      </c>
    </row>
    <row r="21" spans="1:11" s="287" customFormat="1" ht="12.75" customHeight="1">
      <c r="A21" s="1810" t="s">
        <v>92</v>
      </c>
      <c r="B21" s="1811"/>
      <c r="C21" s="1802" t="s">
        <v>534</v>
      </c>
      <c r="D21" s="1803"/>
      <c r="E21" s="694">
        <v>76898000</v>
      </c>
      <c r="F21" s="697">
        <v>79858365</v>
      </c>
      <c r="G21" s="697">
        <v>79858365</v>
      </c>
      <c r="H21" s="697">
        <v>79959056</v>
      </c>
      <c r="I21" s="697">
        <v>79959056</v>
      </c>
      <c r="J21" s="697">
        <v>80496381</v>
      </c>
      <c r="K21" s="697">
        <f>SUM(2453827+3660382+71201042+7354200+824989)+162936</f>
        <v>85657376</v>
      </c>
    </row>
    <row r="22" spans="1:11" ht="12.75" customHeight="1">
      <c r="A22" s="1812" t="s">
        <v>66</v>
      </c>
      <c r="B22" s="1813"/>
      <c r="C22" s="1802" t="s">
        <v>535</v>
      </c>
      <c r="D22" s="1803"/>
      <c r="E22" s="694">
        <v>26751000</v>
      </c>
      <c r="F22" s="948">
        <v>29960135</v>
      </c>
      <c r="G22" s="948">
        <v>30315839</v>
      </c>
      <c r="H22" s="948">
        <v>30315839</v>
      </c>
      <c r="I22" s="948">
        <v>30315839</v>
      </c>
      <c r="J22" s="948">
        <v>29960135</v>
      </c>
      <c r="K22" s="948">
        <v>29228811</v>
      </c>
    </row>
    <row r="23" spans="1:11" s="287" customFormat="1" ht="12.75" customHeight="1" thickBot="1">
      <c r="A23" s="1814" t="s">
        <v>67</v>
      </c>
      <c r="B23" s="1815"/>
      <c r="C23" s="1807" t="s">
        <v>536</v>
      </c>
      <c r="D23" s="1807"/>
      <c r="E23" s="702">
        <v>3309000</v>
      </c>
      <c r="F23" s="703">
        <v>455730</v>
      </c>
      <c r="G23" s="703">
        <v>455730</v>
      </c>
      <c r="H23" s="703">
        <v>455730</v>
      </c>
      <c r="I23" s="703">
        <v>455730</v>
      </c>
      <c r="J23" s="703">
        <v>455730</v>
      </c>
      <c r="K23" s="703">
        <v>455730</v>
      </c>
    </row>
    <row r="24" spans="1:11" s="166" customFormat="1" ht="17.25" customHeight="1" thickBot="1">
      <c r="A24" s="1816" t="s">
        <v>68</v>
      </c>
      <c r="B24" s="1817"/>
      <c r="C24" s="1792" t="s">
        <v>546</v>
      </c>
      <c r="D24" s="1792"/>
      <c r="E24" s="706">
        <f aca="true" t="shared" si="3" ref="E24:J24">SUM(E20+E23)</f>
        <v>106958000</v>
      </c>
      <c r="F24" s="707">
        <f t="shared" si="3"/>
        <v>110274230</v>
      </c>
      <c r="G24" s="707">
        <f t="shared" si="3"/>
        <v>110629934</v>
      </c>
      <c r="H24" s="707">
        <f t="shared" si="3"/>
        <v>110730625</v>
      </c>
      <c r="I24" s="707">
        <f t="shared" si="3"/>
        <v>110730625</v>
      </c>
      <c r="J24" s="707">
        <f t="shared" si="3"/>
        <v>110912246</v>
      </c>
      <c r="K24" s="707">
        <f>SUM(K20+K23)</f>
        <v>115341917</v>
      </c>
    </row>
    <row r="25" spans="1:11" ht="27" customHeight="1" thickBot="1">
      <c r="A25" s="1804" t="s">
        <v>70</v>
      </c>
      <c r="B25" s="1805"/>
      <c r="C25" s="1806" t="s">
        <v>248</v>
      </c>
      <c r="D25" s="1806"/>
      <c r="E25" s="704">
        <f aca="true" t="shared" si="4" ref="E25:J25">SUM(E19+E24)</f>
        <v>108818000</v>
      </c>
      <c r="F25" s="705">
        <f t="shared" si="4"/>
        <v>112115000</v>
      </c>
      <c r="G25" s="705">
        <f t="shared" si="4"/>
        <v>113285704</v>
      </c>
      <c r="H25" s="705">
        <f t="shared" si="4"/>
        <v>113386395</v>
      </c>
      <c r="I25" s="705">
        <f t="shared" si="4"/>
        <v>113386395</v>
      </c>
      <c r="J25" s="705">
        <f t="shared" si="4"/>
        <v>113568016</v>
      </c>
      <c r="K25" s="705">
        <f>SUM(K19+K24)</f>
        <v>117803298</v>
      </c>
    </row>
    <row r="26" spans="1:4" ht="12.75" customHeight="1" thickBot="1">
      <c r="A26" s="161"/>
      <c r="B26" s="161"/>
      <c r="C26" s="162"/>
      <c r="D26" s="162"/>
    </row>
    <row r="27" spans="1:11" ht="49.5" customHeight="1" thickBot="1">
      <c r="A27" s="1764" t="s">
        <v>156</v>
      </c>
      <c r="B27" s="1765"/>
      <c r="C27" s="681" t="s">
        <v>119</v>
      </c>
      <c r="D27" s="682" t="s">
        <v>537</v>
      </c>
      <c r="E27" s="665" t="s">
        <v>158</v>
      </c>
      <c r="F27" s="666" t="s">
        <v>159</v>
      </c>
      <c r="G27" s="666" t="s">
        <v>792</v>
      </c>
      <c r="H27" s="666" t="s">
        <v>802</v>
      </c>
      <c r="I27" s="666" t="s">
        <v>888</v>
      </c>
      <c r="J27" s="666" t="s">
        <v>889</v>
      </c>
      <c r="K27" s="666" t="s">
        <v>889</v>
      </c>
    </row>
    <row r="28" spans="1:11" ht="12.75" customHeight="1">
      <c r="A28" s="1808"/>
      <c r="B28" s="1809"/>
      <c r="C28" s="290" t="s">
        <v>161</v>
      </c>
      <c r="D28" s="291" t="s">
        <v>162</v>
      </c>
      <c r="E28" s="292" t="s">
        <v>163</v>
      </c>
      <c r="F28" s="683" t="s">
        <v>164</v>
      </c>
      <c r="G28" s="683" t="s">
        <v>505</v>
      </c>
      <c r="H28" s="683" t="s">
        <v>525</v>
      </c>
      <c r="I28" s="683" t="s">
        <v>804</v>
      </c>
      <c r="J28" s="683" t="s">
        <v>890</v>
      </c>
      <c r="K28" s="683" t="s">
        <v>890</v>
      </c>
    </row>
    <row r="29" spans="1:11" ht="12.75" customHeight="1">
      <c r="A29" s="684" t="s">
        <v>38</v>
      </c>
      <c r="B29" s="293" t="s">
        <v>167</v>
      </c>
      <c r="C29" s="294" t="s">
        <v>341</v>
      </c>
      <c r="D29" s="295">
        <v>1</v>
      </c>
      <c r="E29" s="76">
        <f aca="true" t="shared" si="5" ref="E29:J29">SUM(E30:E32)</f>
        <v>14541000</v>
      </c>
      <c r="F29" s="685">
        <f t="shared" si="5"/>
        <v>14906000</v>
      </c>
      <c r="G29" s="685">
        <f t="shared" si="5"/>
        <v>15116721</v>
      </c>
      <c r="H29" s="685">
        <f t="shared" si="5"/>
        <v>15116721</v>
      </c>
      <c r="I29" s="685">
        <f t="shared" si="5"/>
        <v>15116721</v>
      </c>
      <c r="J29" s="685">
        <f t="shared" si="5"/>
        <v>15116721</v>
      </c>
      <c r="K29" s="685">
        <f>SUM(K30:K32)</f>
        <v>16496721</v>
      </c>
    </row>
    <row r="30" spans="1:11" ht="12.75" customHeight="1">
      <c r="A30" s="686" t="s">
        <v>40</v>
      </c>
      <c r="B30" s="296"/>
      <c r="C30" s="147" t="s">
        <v>264</v>
      </c>
      <c r="D30" s="190"/>
      <c r="E30" s="97">
        <v>1505000</v>
      </c>
      <c r="F30" s="936">
        <v>1856000</v>
      </c>
      <c r="G30" s="936">
        <f>SUM(1856000+172722)</f>
        <v>2028722</v>
      </c>
      <c r="H30" s="936">
        <f>SUM(1856000+172722)</f>
        <v>2028722</v>
      </c>
      <c r="I30" s="936">
        <f>SUM(1856000+172722)</f>
        <v>2028722</v>
      </c>
      <c r="J30" s="936">
        <f>SUM(1856000+172722)</f>
        <v>2028722</v>
      </c>
      <c r="K30" s="936">
        <f>SUM(1856000+172722)</f>
        <v>2028722</v>
      </c>
    </row>
    <row r="31" spans="1:11" ht="12.75" customHeight="1">
      <c r="A31" s="686" t="s">
        <v>47</v>
      </c>
      <c r="B31" s="296"/>
      <c r="C31" s="147" t="s">
        <v>265</v>
      </c>
      <c r="D31" s="190"/>
      <c r="E31" s="97">
        <v>416000</v>
      </c>
      <c r="F31" s="687">
        <v>430000</v>
      </c>
      <c r="G31" s="687">
        <f>SUM(430000+37999)</f>
        <v>467999</v>
      </c>
      <c r="H31" s="687">
        <f>SUM(430000+37999)</f>
        <v>467999</v>
      </c>
      <c r="I31" s="687">
        <f>SUM(430000+37999)</f>
        <v>467999</v>
      </c>
      <c r="J31" s="687">
        <f>SUM(430000+37999)</f>
        <v>467999</v>
      </c>
      <c r="K31" s="687">
        <f>SUM(430000+37999)</f>
        <v>467999</v>
      </c>
    </row>
    <row r="32" spans="1:11" ht="12.75" customHeight="1">
      <c r="A32" s="686" t="s">
        <v>49</v>
      </c>
      <c r="B32" s="296"/>
      <c r="C32" s="147" t="s">
        <v>266</v>
      </c>
      <c r="D32" s="190"/>
      <c r="E32" s="100">
        <v>12620000</v>
      </c>
      <c r="F32" s="688">
        <v>12620000</v>
      </c>
      <c r="G32" s="688">
        <v>12620000</v>
      </c>
      <c r="H32" s="688">
        <v>12620000</v>
      </c>
      <c r="I32" s="688">
        <v>12620000</v>
      </c>
      <c r="J32" s="688">
        <v>12620000</v>
      </c>
      <c r="K32" s="688">
        <v>14000000</v>
      </c>
    </row>
    <row r="33" spans="1:11" ht="12.75" customHeight="1">
      <c r="A33" s="684" t="s">
        <v>51</v>
      </c>
      <c r="B33" s="297" t="s">
        <v>169</v>
      </c>
      <c r="C33" s="10" t="s">
        <v>538</v>
      </c>
      <c r="D33" s="217"/>
      <c r="E33" s="76">
        <f aca="true" t="shared" si="6" ref="E33:J33">SUM(E34:E36)</f>
        <v>1845000</v>
      </c>
      <c r="F33" s="685">
        <f t="shared" si="6"/>
        <v>1871000</v>
      </c>
      <c r="G33" s="685">
        <f t="shared" si="6"/>
        <v>1895983</v>
      </c>
      <c r="H33" s="685">
        <f t="shared" si="6"/>
        <v>1895983</v>
      </c>
      <c r="I33" s="685">
        <f t="shared" si="6"/>
        <v>1895983</v>
      </c>
      <c r="J33" s="685">
        <f t="shared" si="6"/>
        <v>1895983</v>
      </c>
      <c r="K33" s="685">
        <f>SUM(K34:K36)</f>
        <v>2795983</v>
      </c>
    </row>
    <row r="34" spans="1:11" ht="12.75" customHeight="1">
      <c r="A34" s="686" t="s">
        <v>53</v>
      </c>
      <c r="B34" s="296"/>
      <c r="C34" s="147" t="s">
        <v>264</v>
      </c>
      <c r="D34" s="190"/>
      <c r="E34" s="97">
        <v>192000</v>
      </c>
      <c r="F34" s="936">
        <v>220000</v>
      </c>
      <c r="G34" s="936">
        <f>SUM(220000+20478)</f>
        <v>240478</v>
      </c>
      <c r="H34" s="936">
        <f>SUM(220000+20478)</f>
        <v>240478</v>
      </c>
      <c r="I34" s="936">
        <f>SUM(220000+20478)</f>
        <v>240478</v>
      </c>
      <c r="J34" s="936">
        <f>SUM(220000+20478)</f>
        <v>240478</v>
      </c>
      <c r="K34" s="936">
        <f>SUM(220000+20478)</f>
        <v>240478</v>
      </c>
    </row>
    <row r="35" spans="1:11" ht="12.75" customHeight="1">
      <c r="A35" s="686" t="s">
        <v>55</v>
      </c>
      <c r="B35" s="296"/>
      <c r="C35" s="204" t="s">
        <v>265</v>
      </c>
      <c r="D35" s="675"/>
      <c r="E35" s="216">
        <v>53000</v>
      </c>
      <c r="F35" s="689">
        <v>51000</v>
      </c>
      <c r="G35" s="689">
        <f>SUM(51000+4505)</f>
        <v>55505</v>
      </c>
      <c r="H35" s="689">
        <f>SUM(51000+4505)</f>
        <v>55505</v>
      </c>
      <c r="I35" s="689">
        <f>SUM(51000+4505)</f>
        <v>55505</v>
      </c>
      <c r="J35" s="689">
        <f>SUM(51000+4505)</f>
        <v>55505</v>
      </c>
      <c r="K35" s="689">
        <f>SUM(51000+4505)</f>
        <v>55505</v>
      </c>
    </row>
    <row r="36" spans="1:11" ht="12.75" customHeight="1">
      <c r="A36" s="686" t="s">
        <v>57</v>
      </c>
      <c r="B36" s="296"/>
      <c r="C36" s="526" t="s">
        <v>266</v>
      </c>
      <c r="D36" s="676"/>
      <c r="E36" s="645">
        <v>1600000</v>
      </c>
      <c r="F36" s="690">
        <v>1600000</v>
      </c>
      <c r="G36" s="690">
        <v>1600000</v>
      </c>
      <c r="H36" s="690">
        <v>1600000</v>
      </c>
      <c r="I36" s="690">
        <v>1600000</v>
      </c>
      <c r="J36" s="690">
        <v>1600000</v>
      </c>
      <c r="K36" s="690">
        <v>2500000</v>
      </c>
    </row>
    <row r="37" spans="1:11" s="166" customFormat="1" ht="12.75" customHeight="1">
      <c r="A37" s="684" t="s">
        <v>86</v>
      </c>
      <c r="B37" s="297" t="s">
        <v>176</v>
      </c>
      <c r="C37" s="640" t="s">
        <v>539</v>
      </c>
      <c r="D37" s="676"/>
      <c r="E37" s="662">
        <f aca="true" t="shared" si="7" ref="E37:J37">SUM(E38:E40)</f>
        <v>0</v>
      </c>
      <c r="F37" s="670">
        <f t="shared" si="7"/>
        <v>0</v>
      </c>
      <c r="G37" s="670">
        <f t="shared" si="7"/>
        <v>0</v>
      </c>
      <c r="H37" s="670">
        <f t="shared" si="7"/>
        <v>0</v>
      </c>
      <c r="I37" s="670">
        <f t="shared" si="7"/>
        <v>0</v>
      </c>
      <c r="J37" s="670">
        <f t="shared" si="7"/>
        <v>0</v>
      </c>
      <c r="K37" s="670">
        <f>SUM(K38:K40)</f>
        <v>0</v>
      </c>
    </row>
    <row r="38" spans="1:11" ht="12.75" customHeight="1">
      <c r="A38" s="686" t="s">
        <v>59</v>
      </c>
      <c r="B38" s="296"/>
      <c r="C38" s="526" t="s">
        <v>264</v>
      </c>
      <c r="D38" s="676"/>
      <c r="E38" s="645"/>
      <c r="F38" s="690"/>
      <c r="G38" s="690"/>
      <c r="H38" s="690"/>
      <c r="I38" s="690"/>
      <c r="J38" s="690"/>
      <c r="K38" s="690"/>
    </row>
    <row r="39" spans="1:11" ht="12.75" customHeight="1">
      <c r="A39" s="686" t="s">
        <v>61</v>
      </c>
      <c r="B39" s="296"/>
      <c r="C39" s="201" t="s">
        <v>265</v>
      </c>
      <c r="D39" s="295"/>
      <c r="E39" s="159"/>
      <c r="F39" s="691"/>
      <c r="G39" s="691"/>
      <c r="H39" s="691"/>
      <c r="I39" s="691"/>
      <c r="J39" s="691"/>
      <c r="K39" s="691"/>
    </row>
    <row r="40" spans="1:11" ht="12.75" customHeight="1">
      <c r="A40" s="686" t="s">
        <v>63</v>
      </c>
      <c r="B40" s="296"/>
      <c r="C40" s="147" t="s">
        <v>266</v>
      </c>
      <c r="D40" s="217"/>
      <c r="E40" s="97"/>
      <c r="F40" s="687">
        <v>0</v>
      </c>
      <c r="G40" s="687">
        <v>0</v>
      </c>
      <c r="H40" s="687">
        <v>0</v>
      </c>
      <c r="I40" s="687">
        <v>0</v>
      </c>
      <c r="J40" s="687">
        <v>0</v>
      </c>
      <c r="K40" s="687">
        <v>0</v>
      </c>
    </row>
    <row r="41" spans="1:11" ht="12.75" customHeight="1">
      <c r="A41" s="684" t="s">
        <v>65</v>
      </c>
      <c r="B41" s="297" t="s">
        <v>186</v>
      </c>
      <c r="C41" s="10" t="s">
        <v>351</v>
      </c>
      <c r="D41" s="217">
        <v>20</v>
      </c>
      <c r="E41" s="76">
        <f aca="true" t="shared" si="8" ref="E41:J41">SUM(E42:E45)</f>
        <v>61938000</v>
      </c>
      <c r="F41" s="685">
        <f t="shared" si="8"/>
        <v>73012000</v>
      </c>
      <c r="G41" s="685">
        <f t="shared" si="8"/>
        <v>73012000</v>
      </c>
      <c r="H41" s="685">
        <f t="shared" si="8"/>
        <v>73012000</v>
      </c>
      <c r="I41" s="685">
        <f t="shared" si="8"/>
        <v>73012000</v>
      </c>
      <c r="J41" s="685">
        <f t="shared" si="8"/>
        <v>73012000</v>
      </c>
      <c r="K41" s="685">
        <f>SUM(K42:K45)</f>
        <v>73489172</v>
      </c>
    </row>
    <row r="42" spans="1:11" ht="12.75" customHeight="1">
      <c r="A42" s="686" t="s">
        <v>92</v>
      </c>
      <c r="B42" s="296"/>
      <c r="C42" s="147" t="s">
        <v>264</v>
      </c>
      <c r="D42" s="217"/>
      <c r="E42" s="97">
        <v>47514000</v>
      </c>
      <c r="F42" s="687">
        <v>58009000</v>
      </c>
      <c r="G42" s="687">
        <v>58009000</v>
      </c>
      <c r="H42" s="687">
        <v>58009000</v>
      </c>
      <c r="I42" s="687">
        <v>58009000</v>
      </c>
      <c r="J42" s="687">
        <v>58009000</v>
      </c>
      <c r="K42" s="687">
        <v>57420001</v>
      </c>
    </row>
    <row r="43" spans="1:11" ht="12.75" customHeight="1">
      <c r="A43" s="686" t="s">
        <v>66</v>
      </c>
      <c r="B43" s="296"/>
      <c r="C43" s="147" t="s">
        <v>265</v>
      </c>
      <c r="D43" s="217"/>
      <c r="E43" s="97">
        <v>12458000</v>
      </c>
      <c r="F43" s="687">
        <v>13103000</v>
      </c>
      <c r="G43" s="687">
        <v>13103000</v>
      </c>
      <c r="H43" s="687">
        <v>13103000</v>
      </c>
      <c r="I43" s="687">
        <v>13103000</v>
      </c>
      <c r="J43" s="687">
        <v>13103000</v>
      </c>
      <c r="K43" s="687">
        <v>13569171</v>
      </c>
    </row>
    <row r="44" spans="1:11" ht="12.75" customHeight="1">
      <c r="A44" s="686" t="s">
        <v>67</v>
      </c>
      <c r="B44" s="296"/>
      <c r="C44" s="147" t="s">
        <v>266</v>
      </c>
      <c r="D44" s="217"/>
      <c r="E44" s="97">
        <v>1966000</v>
      </c>
      <c r="F44" s="687">
        <v>1900000</v>
      </c>
      <c r="G44" s="687">
        <v>1900000</v>
      </c>
      <c r="H44" s="687">
        <v>1900000</v>
      </c>
      <c r="I44" s="687">
        <v>1900000</v>
      </c>
      <c r="J44" s="687">
        <v>1900000</v>
      </c>
      <c r="K44" s="687">
        <v>2500000</v>
      </c>
    </row>
    <row r="45" spans="1:11" ht="12.75" customHeight="1">
      <c r="A45" s="686" t="s">
        <v>68</v>
      </c>
      <c r="B45" s="296"/>
      <c r="C45" s="147" t="s">
        <v>15</v>
      </c>
      <c r="D45" s="217"/>
      <c r="E45" s="97">
        <v>0</v>
      </c>
      <c r="F45" s="687">
        <v>0</v>
      </c>
      <c r="G45" s="687">
        <v>0</v>
      </c>
      <c r="H45" s="687">
        <v>0</v>
      </c>
      <c r="I45" s="687">
        <v>0</v>
      </c>
      <c r="J45" s="687">
        <v>0</v>
      </c>
      <c r="K45" s="687">
        <v>0</v>
      </c>
    </row>
    <row r="46" spans="1:11" s="166" customFormat="1" ht="12.75" customHeight="1">
      <c r="A46" s="684" t="s">
        <v>70</v>
      </c>
      <c r="B46" s="297" t="s">
        <v>187</v>
      </c>
      <c r="C46" s="10" t="s">
        <v>540</v>
      </c>
      <c r="D46" s="217"/>
      <c r="E46" s="76">
        <f aca="true" t="shared" si="9" ref="E46:J46">SUM(E47:E49)</f>
        <v>194000</v>
      </c>
      <c r="F46" s="685">
        <f t="shared" si="9"/>
        <v>381000</v>
      </c>
      <c r="G46" s="685">
        <f t="shared" si="9"/>
        <v>381000</v>
      </c>
      <c r="H46" s="685">
        <f t="shared" si="9"/>
        <v>381000</v>
      </c>
      <c r="I46" s="685">
        <f t="shared" si="9"/>
        <v>381000</v>
      </c>
      <c r="J46" s="685">
        <f t="shared" si="9"/>
        <v>381000</v>
      </c>
      <c r="K46" s="685">
        <f>SUM(K47:K49)</f>
        <v>381000</v>
      </c>
    </row>
    <row r="47" spans="1:11" ht="12.75" customHeight="1">
      <c r="A47" s="686" t="s">
        <v>97</v>
      </c>
      <c r="B47" s="296"/>
      <c r="C47" s="147" t="s">
        <v>264</v>
      </c>
      <c r="D47" s="217"/>
      <c r="E47" s="97">
        <v>112000</v>
      </c>
      <c r="F47" s="687">
        <v>312000</v>
      </c>
      <c r="G47" s="687">
        <v>312000</v>
      </c>
      <c r="H47" s="687">
        <v>312000</v>
      </c>
      <c r="I47" s="687">
        <v>312000</v>
      </c>
      <c r="J47" s="687">
        <v>312000</v>
      </c>
      <c r="K47" s="687">
        <v>312000</v>
      </c>
    </row>
    <row r="48" spans="1:11" ht="12.75" customHeight="1">
      <c r="A48" s="686" t="s">
        <v>99</v>
      </c>
      <c r="B48" s="296"/>
      <c r="C48" s="147" t="s">
        <v>265</v>
      </c>
      <c r="D48" s="217"/>
      <c r="E48" s="97">
        <v>82000</v>
      </c>
      <c r="F48" s="687">
        <v>69000</v>
      </c>
      <c r="G48" s="687">
        <v>69000</v>
      </c>
      <c r="H48" s="687">
        <v>69000</v>
      </c>
      <c r="I48" s="687">
        <v>69000</v>
      </c>
      <c r="J48" s="687">
        <v>69000</v>
      </c>
      <c r="K48" s="687">
        <v>69000</v>
      </c>
    </row>
    <row r="49" spans="1:11" ht="12.75" customHeight="1">
      <c r="A49" s="686" t="s">
        <v>101</v>
      </c>
      <c r="B49" s="296"/>
      <c r="C49" s="147" t="s">
        <v>266</v>
      </c>
      <c r="D49" s="217"/>
      <c r="E49" s="97">
        <v>0</v>
      </c>
      <c r="F49" s="687">
        <v>0</v>
      </c>
      <c r="G49" s="687">
        <v>0</v>
      </c>
      <c r="H49" s="687">
        <v>0</v>
      </c>
      <c r="I49" s="687">
        <v>0</v>
      </c>
      <c r="J49" s="687">
        <v>0</v>
      </c>
      <c r="K49" s="687">
        <v>0</v>
      </c>
    </row>
    <row r="50" spans="1:11" ht="12.75" customHeight="1">
      <c r="A50" s="684" t="s">
        <v>103</v>
      </c>
      <c r="B50" s="297" t="s">
        <v>188</v>
      </c>
      <c r="C50" s="10" t="s">
        <v>357</v>
      </c>
      <c r="D50" s="217"/>
      <c r="E50" s="76">
        <f aca="true" t="shared" si="10" ref="E50:J50">SUM(E51:E53)</f>
        <v>15626000</v>
      </c>
      <c r="F50" s="685">
        <f t="shared" si="10"/>
        <v>9653000</v>
      </c>
      <c r="G50" s="685">
        <f t="shared" si="10"/>
        <v>9668000</v>
      </c>
      <c r="H50" s="685">
        <f t="shared" si="10"/>
        <v>9668000</v>
      </c>
      <c r="I50" s="685">
        <f t="shared" si="10"/>
        <v>9668000</v>
      </c>
      <c r="J50" s="685">
        <f t="shared" si="10"/>
        <v>9668000</v>
      </c>
      <c r="K50" s="685">
        <f>SUM(K51:K53)</f>
        <v>9733000</v>
      </c>
    </row>
    <row r="51" spans="1:11" ht="12.75" customHeight="1">
      <c r="A51" s="686" t="s">
        <v>105</v>
      </c>
      <c r="B51" s="296"/>
      <c r="C51" s="147" t="s">
        <v>264</v>
      </c>
      <c r="D51" s="217">
        <v>3</v>
      </c>
      <c r="E51" s="97">
        <v>12590000</v>
      </c>
      <c r="F51" s="687">
        <v>7762000</v>
      </c>
      <c r="G51" s="687">
        <v>7762000</v>
      </c>
      <c r="H51" s="687">
        <v>7762000</v>
      </c>
      <c r="I51" s="687">
        <v>7762000</v>
      </c>
      <c r="J51" s="687">
        <v>7762000</v>
      </c>
      <c r="K51" s="687">
        <v>7762000</v>
      </c>
    </row>
    <row r="52" spans="1:11" ht="12.75" customHeight="1">
      <c r="A52" s="686" t="s">
        <v>107</v>
      </c>
      <c r="B52" s="296"/>
      <c r="C52" s="147" t="s">
        <v>265</v>
      </c>
      <c r="D52" s="217"/>
      <c r="E52" s="97">
        <v>2881000</v>
      </c>
      <c r="F52" s="687">
        <v>1756000</v>
      </c>
      <c r="G52" s="687">
        <v>1756000</v>
      </c>
      <c r="H52" s="687">
        <v>1756000</v>
      </c>
      <c r="I52" s="687">
        <v>1756000</v>
      </c>
      <c r="J52" s="687">
        <v>1756000</v>
      </c>
      <c r="K52" s="687">
        <v>1756000</v>
      </c>
    </row>
    <row r="53" spans="1:11" ht="12.75" customHeight="1">
      <c r="A53" s="686" t="s">
        <v>109</v>
      </c>
      <c r="B53" s="296"/>
      <c r="C53" s="147" t="s">
        <v>266</v>
      </c>
      <c r="D53" s="217"/>
      <c r="E53" s="97">
        <v>155000</v>
      </c>
      <c r="F53" s="687">
        <v>135000</v>
      </c>
      <c r="G53" s="687">
        <v>150000</v>
      </c>
      <c r="H53" s="687">
        <v>150000</v>
      </c>
      <c r="I53" s="687">
        <v>150000</v>
      </c>
      <c r="J53" s="687">
        <v>150000</v>
      </c>
      <c r="K53" s="687">
        <v>215000</v>
      </c>
    </row>
    <row r="54" spans="1:11" ht="12.75" customHeight="1">
      <c r="A54" s="684" t="s">
        <v>113</v>
      </c>
      <c r="B54" s="297" t="s">
        <v>190</v>
      </c>
      <c r="C54" s="10" t="s">
        <v>362</v>
      </c>
      <c r="D54" s="217">
        <v>2</v>
      </c>
      <c r="E54" s="76">
        <f aca="true" t="shared" si="11" ref="E54:J54">SUM(E55:E58)</f>
        <v>7738000</v>
      </c>
      <c r="F54" s="685">
        <f t="shared" si="11"/>
        <v>9042000</v>
      </c>
      <c r="G54" s="685">
        <f t="shared" si="11"/>
        <v>9162000</v>
      </c>
      <c r="H54" s="685">
        <f t="shared" si="11"/>
        <v>9262691</v>
      </c>
      <c r="I54" s="685">
        <f t="shared" si="11"/>
        <v>9262691</v>
      </c>
      <c r="J54" s="685">
        <f t="shared" si="11"/>
        <v>9444312</v>
      </c>
      <c r="K54" s="685">
        <f>SUM(K55:K58)</f>
        <v>9444312</v>
      </c>
    </row>
    <row r="55" spans="1:11" ht="12.75" customHeight="1">
      <c r="A55" s="686" t="s">
        <v>115</v>
      </c>
      <c r="B55" s="296"/>
      <c r="C55" s="147" t="s">
        <v>264</v>
      </c>
      <c r="D55" s="217"/>
      <c r="E55" s="97">
        <v>5620000</v>
      </c>
      <c r="F55" s="687">
        <v>7132000</v>
      </c>
      <c r="G55" s="687">
        <v>7132000</v>
      </c>
      <c r="H55" s="687">
        <v>7214534</v>
      </c>
      <c r="I55" s="687">
        <v>7214534</v>
      </c>
      <c r="J55" s="687">
        <v>7363404</v>
      </c>
      <c r="K55" s="687">
        <v>7363404</v>
      </c>
    </row>
    <row r="56" spans="1:11" ht="12.75" customHeight="1">
      <c r="A56" s="686" t="s">
        <v>117</v>
      </c>
      <c r="B56" s="296"/>
      <c r="C56" s="147" t="s">
        <v>265</v>
      </c>
      <c r="D56" s="190"/>
      <c r="E56" s="97">
        <v>1551000</v>
      </c>
      <c r="F56" s="687">
        <v>1610000</v>
      </c>
      <c r="G56" s="687">
        <v>1610000</v>
      </c>
      <c r="H56" s="687">
        <v>1628157</v>
      </c>
      <c r="I56" s="687">
        <v>1628157</v>
      </c>
      <c r="J56" s="687">
        <v>1660908</v>
      </c>
      <c r="K56" s="687">
        <v>1660908</v>
      </c>
    </row>
    <row r="57" spans="1:11" ht="12.75" customHeight="1">
      <c r="A57" s="686" t="s">
        <v>118</v>
      </c>
      <c r="B57" s="296"/>
      <c r="C57" s="147" t="s">
        <v>708</v>
      </c>
      <c r="D57" s="190"/>
      <c r="E57" s="97">
        <v>567000</v>
      </c>
      <c r="F57" s="687">
        <v>300000</v>
      </c>
      <c r="G57" s="687">
        <v>420000</v>
      </c>
      <c r="H57" s="687">
        <v>420000</v>
      </c>
      <c r="I57" s="687">
        <v>420000</v>
      </c>
      <c r="J57" s="687">
        <v>420000</v>
      </c>
      <c r="K57" s="687">
        <v>420000</v>
      </c>
    </row>
    <row r="58" spans="1:11" ht="12.75" customHeight="1">
      <c r="A58" s="686" t="s">
        <v>120</v>
      </c>
      <c r="B58" s="296"/>
      <c r="C58" s="147" t="s">
        <v>15</v>
      </c>
      <c r="D58" s="190"/>
      <c r="E58" s="97">
        <v>0</v>
      </c>
      <c r="F58" s="687">
        <v>0</v>
      </c>
      <c r="G58" s="687">
        <v>0</v>
      </c>
      <c r="H58" s="687">
        <v>0</v>
      </c>
      <c r="I58" s="687">
        <v>0</v>
      </c>
      <c r="J58" s="687">
        <v>0</v>
      </c>
      <c r="K58" s="687">
        <v>0</v>
      </c>
    </row>
    <row r="59" spans="1:11" ht="12.75" customHeight="1">
      <c r="A59" s="684" t="s">
        <v>122</v>
      </c>
      <c r="B59" s="297" t="s">
        <v>193</v>
      </c>
      <c r="C59" s="10" t="s">
        <v>368</v>
      </c>
      <c r="D59" s="217">
        <v>0</v>
      </c>
      <c r="E59" s="76">
        <f aca="true" t="shared" si="12" ref="E59:J59">SUM(E62:E63)</f>
        <v>6936000</v>
      </c>
      <c r="F59" s="685">
        <f t="shared" si="12"/>
        <v>3250000</v>
      </c>
      <c r="G59" s="685">
        <f t="shared" si="12"/>
        <v>4050000</v>
      </c>
      <c r="H59" s="685">
        <f t="shared" si="12"/>
        <v>4050000</v>
      </c>
      <c r="I59" s="685">
        <f t="shared" si="12"/>
        <v>4050000</v>
      </c>
      <c r="J59" s="685">
        <f t="shared" si="12"/>
        <v>4050000</v>
      </c>
      <c r="K59" s="685">
        <f>SUM(K62:K63)</f>
        <v>5463110</v>
      </c>
    </row>
    <row r="60" spans="1:11" ht="12.75" customHeight="1">
      <c r="A60" s="686" t="s">
        <v>124</v>
      </c>
      <c r="B60" s="296"/>
      <c r="C60" s="147" t="s">
        <v>541</v>
      </c>
      <c r="D60" s="190"/>
      <c r="E60" s="97"/>
      <c r="F60" s="687"/>
      <c r="G60" s="687"/>
      <c r="H60" s="687"/>
      <c r="I60" s="687"/>
      <c r="J60" s="687"/>
      <c r="K60" s="687"/>
    </row>
    <row r="61" spans="1:11" ht="12.75" customHeight="1">
      <c r="A61" s="686" t="s">
        <v>126</v>
      </c>
      <c r="B61" s="296"/>
      <c r="C61" s="147" t="s">
        <v>542</v>
      </c>
      <c r="D61" s="190"/>
      <c r="E61" s="97"/>
      <c r="F61" s="687"/>
      <c r="G61" s="687"/>
      <c r="H61" s="687"/>
      <c r="I61" s="687"/>
      <c r="J61" s="687"/>
      <c r="K61" s="687"/>
    </row>
    <row r="62" spans="1:11" ht="12.75" customHeight="1">
      <c r="A62" s="686" t="s">
        <v>128</v>
      </c>
      <c r="B62" s="296"/>
      <c r="C62" s="147" t="s">
        <v>496</v>
      </c>
      <c r="D62" s="190"/>
      <c r="E62" s="97">
        <v>6256000</v>
      </c>
      <c r="F62" s="687">
        <v>3250000</v>
      </c>
      <c r="G62" s="687">
        <v>3250000</v>
      </c>
      <c r="H62" s="687">
        <v>3043037</v>
      </c>
      <c r="I62" s="687">
        <v>3043037</v>
      </c>
      <c r="J62" s="687">
        <v>3043037</v>
      </c>
      <c r="K62" s="687">
        <v>4568522</v>
      </c>
    </row>
    <row r="63" spans="1:11" ht="12.75" customHeight="1" thickBot="1">
      <c r="A63" s="686" t="s">
        <v>130</v>
      </c>
      <c r="B63" s="298"/>
      <c r="C63" s="204" t="s">
        <v>15</v>
      </c>
      <c r="D63" s="299"/>
      <c r="E63" s="216">
        <v>680000</v>
      </c>
      <c r="F63" s="689">
        <f>SUM('6. 7.8. M  '!D26)</f>
        <v>0</v>
      </c>
      <c r="G63" s="689">
        <v>800000</v>
      </c>
      <c r="H63" s="689">
        <v>1006963</v>
      </c>
      <c r="I63" s="689">
        <v>1006963</v>
      </c>
      <c r="J63" s="689">
        <v>1006963</v>
      </c>
      <c r="K63" s="689">
        <v>894588</v>
      </c>
    </row>
    <row r="64" spans="1:66" s="680" customFormat="1" ht="24" customHeight="1" thickBot="1">
      <c r="A64" s="692" t="s">
        <v>131</v>
      </c>
      <c r="B64" s="86" t="s">
        <v>195</v>
      </c>
      <c r="C64" s="87" t="s">
        <v>543</v>
      </c>
      <c r="D64" s="677">
        <v>26</v>
      </c>
      <c r="E64" s="678">
        <f aca="true" t="shared" si="13" ref="E64:J64">SUM(E29+E33+E41+E50+E54+E59)+E46+E37</f>
        <v>108818000</v>
      </c>
      <c r="F64" s="693">
        <f t="shared" si="13"/>
        <v>112115000</v>
      </c>
      <c r="G64" s="693">
        <f t="shared" si="13"/>
        <v>113285704</v>
      </c>
      <c r="H64" s="693">
        <f t="shared" si="13"/>
        <v>113386395</v>
      </c>
      <c r="I64" s="693">
        <f t="shared" si="13"/>
        <v>113386395</v>
      </c>
      <c r="J64" s="693">
        <f t="shared" si="13"/>
        <v>113568016</v>
      </c>
      <c r="K64" s="693">
        <f>SUM(K29+K33+K41+K50+K54+K59)+K46+K37</f>
        <v>117803298</v>
      </c>
      <c r="L64" s="679"/>
      <c r="M64" s="679"/>
      <c r="N64" s="679"/>
      <c r="O64" s="679"/>
      <c r="P64" s="679"/>
      <c r="Q64" s="679"/>
      <c r="R64" s="679"/>
      <c r="S64" s="679"/>
      <c r="T64" s="679"/>
      <c r="U64" s="679"/>
      <c r="V64" s="679"/>
      <c r="W64" s="679"/>
      <c r="X64" s="679"/>
      <c r="Y64" s="679"/>
      <c r="Z64" s="679"/>
      <c r="AA64" s="679"/>
      <c r="AB64" s="679"/>
      <c r="AC64" s="679"/>
      <c r="AD64" s="679"/>
      <c r="AE64" s="679"/>
      <c r="AF64" s="679"/>
      <c r="AG64" s="679"/>
      <c r="AH64" s="679"/>
      <c r="AI64" s="679"/>
      <c r="AJ64" s="679"/>
      <c r="AK64" s="679"/>
      <c r="AL64" s="679"/>
      <c r="AM64" s="679"/>
      <c r="AN64" s="679"/>
      <c r="AO64" s="679"/>
      <c r="AP64" s="679"/>
      <c r="AQ64" s="679"/>
      <c r="AR64" s="679"/>
      <c r="AS64" s="679"/>
      <c r="AT64" s="679"/>
      <c r="AU64" s="679"/>
      <c r="AV64" s="679"/>
      <c r="AW64" s="679"/>
      <c r="AX64" s="679"/>
      <c r="AY64" s="679"/>
      <c r="AZ64" s="679"/>
      <c r="BA64" s="679"/>
      <c r="BB64" s="679"/>
      <c r="BC64" s="679"/>
      <c r="BD64" s="679"/>
      <c r="BE64" s="679"/>
      <c r="BF64" s="679"/>
      <c r="BG64" s="679"/>
      <c r="BH64" s="679"/>
      <c r="BI64" s="679"/>
      <c r="BJ64" s="679"/>
      <c r="BK64" s="679"/>
      <c r="BL64" s="679"/>
      <c r="BM64" s="679"/>
      <c r="BN64" s="679"/>
    </row>
    <row r="65" spans="1:66" s="7" customFormat="1" ht="12.75" customHeight="1">
      <c r="A65" s="686" t="s">
        <v>133</v>
      </c>
      <c r="B65" s="300"/>
      <c r="C65" s="301" t="s">
        <v>264</v>
      </c>
      <c r="D65" s="302"/>
      <c r="E65" s="303">
        <f aca="true" t="shared" si="14" ref="E65:J65">SUM(E30+E34+E42+E51+E55)+E47</f>
        <v>67533000</v>
      </c>
      <c r="F65" s="303">
        <f t="shared" si="14"/>
        <v>75291000</v>
      </c>
      <c r="G65" s="303">
        <f t="shared" si="14"/>
        <v>75484200</v>
      </c>
      <c r="H65" s="303">
        <f t="shared" si="14"/>
        <v>75566734</v>
      </c>
      <c r="I65" s="303">
        <f t="shared" si="14"/>
        <v>75566734</v>
      </c>
      <c r="J65" s="303">
        <f t="shared" si="14"/>
        <v>75715604</v>
      </c>
      <c r="K65" s="303">
        <f>SUM(K30+K34+K42+K51+K55)+K47</f>
        <v>75126605</v>
      </c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6"/>
    </row>
    <row r="66" spans="1:66" s="7" customFormat="1" ht="12.75" customHeight="1">
      <c r="A66" s="686" t="s">
        <v>135</v>
      </c>
      <c r="B66" s="251"/>
      <c r="C66" s="254" t="s">
        <v>265</v>
      </c>
      <c r="D66" s="304"/>
      <c r="E66" s="100">
        <f aca="true" t="shared" si="15" ref="E66:J66">SUM(E31+E43+E52+E56)+E35+E48</f>
        <v>17441000</v>
      </c>
      <c r="F66" s="100">
        <f t="shared" si="15"/>
        <v>17019000</v>
      </c>
      <c r="G66" s="100">
        <f t="shared" si="15"/>
        <v>17061504</v>
      </c>
      <c r="H66" s="100">
        <f t="shared" si="15"/>
        <v>17079661</v>
      </c>
      <c r="I66" s="100">
        <f t="shared" si="15"/>
        <v>17079661</v>
      </c>
      <c r="J66" s="100">
        <f t="shared" si="15"/>
        <v>17112412</v>
      </c>
      <c r="K66" s="100">
        <f>SUM(K31+K43+K52+K56)+K35+K48</f>
        <v>17578583</v>
      </c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6"/>
    </row>
    <row r="67" spans="1:66" s="7" customFormat="1" ht="12.75" customHeight="1">
      <c r="A67" s="686" t="s">
        <v>137</v>
      </c>
      <c r="B67" s="251"/>
      <c r="C67" s="254" t="s">
        <v>266</v>
      </c>
      <c r="D67" s="304"/>
      <c r="E67" s="100">
        <f aca="true" t="shared" si="16" ref="E67:J67">SUM(E32+E36+E44+E53+E57+E62)</f>
        <v>23164000</v>
      </c>
      <c r="F67" s="688">
        <f t="shared" si="16"/>
        <v>19805000</v>
      </c>
      <c r="G67" s="688">
        <f t="shared" si="16"/>
        <v>19940000</v>
      </c>
      <c r="H67" s="688">
        <f t="shared" si="16"/>
        <v>19733037</v>
      </c>
      <c r="I67" s="688">
        <f t="shared" si="16"/>
        <v>19733037</v>
      </c>
      <c r="J67" s="688">
        <f t="shared" si="16"/>
        <v>19733037</v>
      </c>
      <c r="K67" s="688">
        <f>SUM(K32+K36+K44+K53+K57+K62)</f>
        <v>24203522</v>
      </c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6"/>
    </row>
    <row r="68" spans="1:66" s="7" customFormat="1" ht="18.75" customHeight="1">
      <c r="A68" s="1314" t="s">
        <v>139</v>
      </c>
      <c r="B68" s="1315"/>
      <c r="C68" s="1316" t="s">
        <v>15</v>
      </c>
      <c r="D68" s="1317"/>
      <c r="E68" s="1318">
        <f aca="true" t="shared" si="17" ref="E68:J68">SUM(E58+E63)+E45</f>
        <v>680000</v>
      </c>
      <c r="F68" s="1319">
        <f t="shared" si="17"/>
        <v>0</v>
      </c>
      <c r="G68" s="1319">
        <f t="shared" si="17"/>
        <v>800000</v>
      </c>
      <c r="H68" s="1319">
        <f t="shared" si="17"/>
        <v>1006963</v>
      </c>
      <c r="I68" s="1319">
        <f t="shared" si="17"/>
        <v>1006963</v>
      </c>
      <c r="J68" s="1319">
        <f t="shared" si="17"/>
        <v>1006963</v>
      </c>
      <c r="K68" s="1319">
        <v>894588</v>
      </c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</row>
    <row r="69" spans="1:11" s="1326" customFormat="1" ht="12.75" customHeight="1">
      <c r="A69" s="1322" t="s">
        <v>141</v>
      </c>
      <c r="B69" s="1322"/>
      <c r="C69" s="1323" t="s">
        <v>882</v>
      </c>
      <c r="D69" s="1324"/>
      <c r="E69" s="1325"/>
      <c r="F69" s="1325"/>
      <c r="G69" s="1325"/>
      <c r="H69" s="1325">
        <v>1006963</v>
      </c>
      <c r="I69" s="1325">
        <v>1006963</v>
      </c>
      <c r="J69" s="1325">
        <v>1006963</v>
      </c>
      <c r="K69" s="1325">
        <v>894588</v>
      </c>
    </row>
    <row r="70" spans="1:11" s="1329" customFormat="1" ht="12.75" customHeight="1">
      <c r="A70" s="1327" t="s">
        <v>143</v>
      </c>
      <c r="B70" s="1327"/>
      <c r="C70" s="1327" t="s">
        <v>883</v>
      </c>
      <c r="D70" s="1327"/>
      <c r="E70" s="1328"/>
      <c r="F70" s="1328"/>
      <c r="G70" s="1328"/>
      <c r="H70" s="1328"/>
      <c r="I70" s="1328"/>
      <c r="J70" s="1328"/>
      <c r="K70" s="1328"/>
    </row>
  </sheetData>
  <sheetProtection selectLockedCells="1" selectUnlockedCells="1"/>
  <mergeCells count="42">
    <mergeCell ref="A25:B25"/>
    <mergeCell ref="C25:D25"/>
    <mergeCell ref="C23:D23"/>
    <mergeCell ref="C21:D21"/>
    <mergeCell ref="A12:B12"/>
    <mergeCell ref="A27:B28"/>
    <mergeCell ref="A21:B21"/>
    <mergeCell ref="A22:B22"/>
    <mergeCell ref="A23:B23"/>
    <mergeCell ref="A24:B24"/>
    <mergeCell ref="C24:D24"/>
    <mergeCell ref="A10:B10"/>
    <mergeCell ref="A11:B11"/>
    <mergeCell ref="A13:B13"/>
    <mergeCell ref="A17:B17"/>
    <mergeCell ref="A19:B19"/>
    <mergeCell ref="A20:B20"/>
    <mergeCell ref="C19:D19"/>
    <mergeCell ref="C20:D20"/>
    <mergeCell ref="C22:D22"/>
    <mergeCell ref="A18:B18"/>
    <mergeCell ref="C17:D17"/>
    <mergeCell ref="C18:D18"/>
    <mergeCell ref="C10:D10"/>
    <mergeCell ref="C11:D11"/>
    <mergeCell ref="C12:D12"/>
    <mergeCell ref="A16:B16"/>
    <mergeCell ref="C16:D16"/>
    <mergeCell ref="A14:B14"/>
    <mergeCell ref="A1:K1"/>
    <mergeCell ref="A15:B15"/>
    <mergeCell ref="A8:B8"/>
    <mergeCell ref="A9:B9"/>
    <mergeCell ref="C8:D8"/>
    <mergeCell ref="C9:D9"/>
    <mergeCell ref="C15:D15"/>
    <mergeCell ref="A6:B7"/>
    <mergeCell ref="C13:D13"/>
    <mergeCell ref="A3:K3"/>
    <mergeCell ref="G5:K5"/>
    <mergeCell ref="A2:K2"/>
    <mergeCell ref="A4:K4"/>
  </mergeCells>
  <printOptions horizontalCentered="1"/>
  <pageMargins left="0.2362204724409449" right="0.11811023622047245" top="0.984251968503937" bottom="0.984251968503937" header="0.5118110236220472" footer="0.5118110236220472"/>
  <pageSetup fitToWidth="0" fitToHeight="1"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view="pageBreakPreview" zoomScaleSheetLayoutView="100" zoomScalePageLayoutView="0" workbookViewId="0" topLeftCell="A1">
      <selection activeCell="C16" sqref="C16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11" width="19.28125" style="57" customWidth="1"/>
  </cols>
  <sheetData>
    <row r="1" spans="1:11" s="305" customFormat="1" ht="18" customHeight="1">
      <c r="A1" s="1820" t="s">
        <v>1151</v>
      </c>
      <c r="B1" s="1820"/>
      <c r="C1" s="1820"/>
      <c r="D1" s="1820"/>
      <c r="E1" s="1820"/>
      <c r="F1" s="1820"/>
      <c r="G1" s="1820"/>
      <c r="H1" s="1820"/>
      <c r="I1" s="1820"/>
      <c r="J1" s="1820"/>
      <c r="K1" s="1820"/>
    </row>
    <row r="2" spans="1:11" ht="15" customHeight="1">
      <c r="A2" s="1831" t="s">
        <v>1133</v>
      </c>
      <c r="B2" s="1831"/>
      <c r="C2" s="1831"/>
      <c r="D2" s="1831"/>
      <c r="E2" s="1831"/>
      <c r="F2" s="1831"/>
      <c r="G2" s="1831"/>
      <c r="H2" s="1831"/>
      <c r="I2" s="1831"/>
      <c r="J2" s="1831"/>
      <c r="K2" s="1831"/>
    </row>
    <row r="3" spans="3:11" ht="12.75" customHeight="1">
      <c r="C3" s="1752" t="s">
        <v>1152</v>
      </c>
      <c r="D3" s="1752"/>
      <c r="E3" s="1752"/>
      <c r="F3" s="1752"/>
      <c r="G3" s="1752"/>
      <c r="H3" s="1752"/>
      <c r="I3" s="1752"/>
      <c r="J3" s="1752"/>
      <c r="K3" s="1752"/>
    </row>
    <row r="4" spans="1:11" ht="21" customHeight="1">
      <c r="A4" s="1818" t="s">
        <v>894</v>
      </c>
      <c r="B4" s="1818"/>
      <c r="C4" s="1818"/>
      <c r="D4" s="1818"/>
      <c r="E4" s="1818"/>
      <c r="F4" s="1818"/>
      <c r="G4" s="1818"/>
      <c r="H4" s="1818"/>
      <c r="I4" s="1818"/>
      <c r="J4" s="1818"/>
      <c r="K4" s="1818"/>
    </row>
    <row r="5" spans="3:4" ht="21" customHeight="1">
      <c r="C5" s="306"/>
      <c r="D5" s="306"/>
    </row>
    <row r="6" spans="5:11" ht="12.75" customHeight="1" thickBot="1">
      <c r="E6" s="1686" t="s">
        <v>155</v>
      </c>
      <c r="F6" s="1686"/>
      <c r="G6" s="1686"/>
      <c r="H6" s="1686"/>
      <c r="I6" s="1686"/>
      <c r="J6" s="1686"/>
      <c r="K6" s="1686"/>
    </row>
    <row r="7" spans="1:11" ht="38.25" customHeight="1" thickBot="1">
      <c r="A7" s="1662" t="s">
        <v>156</v>
      </c>
      <c r="B7" s="1663"/>
      <c r="C7" s="1828" t="s">
        <v>157</v>
      </c>
      <c r="D7" s="1828"/>
      <c r="E7" s="708" t="s">
        <v>158</v>
      </c>
      <c r="F7" s="709" t="s">
        <v>159</v>
      </c>
      <c r="G7" s="709" t="s">
        <v>793</v>
      </c>
      <c r="H7" s="709" t="s">
        <v>803</v>
      </c>
      <c r="I7" s="709" t="s">
        <v>885</v>
      </c>
      <c r="J7" s="709" t="s">
        <v>891</v>
      </c>
      <c r="K7" s="709" t="s">
        <v>947</v>
      </c>
    </row>
    <row r="8" spans="1:11" ht="12.75" customHeight="1">
      <c r="A8" s="1839" t="s">
        <v>161</v>
      </c>
      <c r="B8" s="1656"/>
      <c r="C8" s="307" t="s">
        <v>162</v>
      </c>
      <c r="D8" s="308"/>
      <c r="E8" s="309" t="s">
        <v>163</v>
      </c>
      <c r="F8" s="710" t="s">
        <v>164</v>
      </c>
      <c r="G8" s="710" t="s">
        <v>505</v>
      </c>
      <c r="H8" s="710" t="s">
        <v>525</v>
      </c>
      <c r="I8" s="710" t="s">
        <v>804</v>
      </c>
      <c r="J8" s="710" t="s">
        <v>890</v>
      </c>
      <c r="K8" s="710" t="s">
        <v>895</v>
      </c>
    </row>
    <row r="9" spans="1:11" s="12" customFormat="1" ht="12.75" customHeight="1">
      <c r="A9" s="1840" t="s">
        <v>38</v>
      </c>
      <c r="B9" s="1841"/>
      <c r="C9" s="753" t="s">
        <v>78</v>
      </c>
      <c r="D9" s="754"/>
      <c r="E9" s="1394">
        <v>300000</v>
      </c>
      <c r="F9" s="1395">
        <f>SUM(F10)</f>
        <v>299993</v>
      </c>
      <c r="G9" s="1395">
        <f>SUM(G10)</f>
        <v>299993</v>
      </c>
      <c r="H9" s="1395">
        <f>SUM(H10)</f>
        <v>299993</v>
      </c>
      <c r="I9" s="1395">
        <f>SUM(I10)</f>
        <v>299993</v>
      </c>
      <c r="J9" s="1395">
        <f>SUM(J10:J12)</f>
        <v>402100</v>
      </c>
      <c r="K9" s="1395">
        <f>SUM(K10:K12)</f>
        <v>508048</v>
      </c>
    </row>
    <row r="10" spans="1:11" s="464" customFormat="1" ht="12.75" customHeight="1">
      <c r="A10" s="1823" t="s">
        <v>40</v>
      </c>
      <c r="B10" s="1823"/>
      <c r="C10" s="1400" t="s">
        <v>715</v>
      </c>
      <c r="D10" s="1401"/>
      <c r="E10" s="661">
        <v>300000</v>
      </c>
      <c r="F10" s="661">
        <v>299993</v>
      </c>
      <c r="G10" s="661">
        <v>299993</v>
      </c>
      <c r="H10" s="661">
        <v>299993</v>
      </c>
      <c r="I10" s="661">
        <v>299993</v>
      </c>
      <c r="J10" s="661">
        <v>400000</v>
      </c>
      <c r="K10" s="661">
        <v>507000</v>
      </c>
    </row>
    <row r="11" spans="1:11" s="464" customFormat="1" ht="12.75" customHeight="1">
      <c r="A11" s="1824" t="s">
        <v>47</v>
      </c>
      <c r="B11" s="1825"/>
      <c r="C11" s="1400" t="s">
        <v>892</v>
      </c>
      <c r="D11" s="1401"/>
      <c r="E11" s="661"/>
      <c r="F11" s="661"/>
      <c r="G11" s="661"/>
      <c r="H11" s="661"/>
      <c r="I11" s="661"/>
      <c r="J11" s="661">
        <v>100</v>
      </c>
      <c r="K11" s="661">
        <v>3</v>
      </c>
    </row>
    <row r="12" spans="1:11" s="464" customFormat="1" ht="12.75" customHeight="1">
      <c r="A12" s="1824" t="s">
        <v>49</v>
      </c>
      <c r="B12" s="1825"/>
      <c r="C12" s="1400" t="s">
        <v>893</v>
      </c>
      <c r="D12" s="1401"/>
      <c r="E12" s="661"/>
      <c r="F12" s="661"/>
      <c r="G12" s="661"/>
      <c r="H12" s="661"/>
      <c r="I12" s="661"/>
      <c r="J12" s="661">
        <v>2000</v>
      </c>
      <c r="K12" s="661">
        <v>1045</v>
      </c>
    </row>
    <row r="13" spans="1:11" ht="19.5" customHeight="1" thickBot="1">
      <c r="A13" s="1842" t="s">
        <v>51</v>
      </c>
      <c r="B13" s="1843"/>
      <c r="C13" s="1396" t="s">
        <v>532</v>
      </c>
      <c r="D13" s="1397"/>
      <c r="E13" s="1398">
        <f aca="true" t="shared" si="0" ref="E13:J13">SUM(E9)</f>
        <v>300000</v>
      </c>
      <c r="F13" s="1399">
        <f t="shared" si="0"/>
        <v>299993</v>
      </c>
      <c r="G13" s="1399">
        <f t="shared" si="0"/>
        <v>299993</v>
      </c>
      <c r="H13" s="1399">
        <f t="shared" si="0"/>
        <v>299993</v>
      </c>
      <c r="I13" s="1399">
        <f t="shared" si="0"/>
        <v>299993</v>
      </c>
      <c r="J13" s="1399">
        <f t="shared" si="0"/>
        <v>402100</v>
      </c>
      <c r="K13" s="1399">
        <f>SUM(K9)</f>
        <v>508048</v>
      </c>
    </row>
    <row r="14" spans="1:11" ht="12.75" customHeight="1">
      <c r="A14" s="1844" t="s">
        <v>53</v>
      </c>
      <c r="B14" s="1845"/>
      <c r="C14" s="286" t="s">
        <v>545</v>
      </c>
      <c r="D14" s="713"/>
      <c r="E14" s="714">
        <f aca="true" t="shared" si="1" ref="E14:J14">SUM(E15:E16)</f>
        <v>14819000</v>
      </c>
      <c r="F14" s="715">
        <f t="shared" si="1"/>
        <v>17525000</v>
      </c>
      <c r="G14" s="715">
        <f t="shared" si="1"/>
        <v>17525000</v>
      </c>
      <c r="H14" s="715">
        <f t="shared" si="1"/>
        <v>17752882</v>
      </c>
      <c r="I14" s="715">
        <f t="shared" si="1"/>
        <v>17752882</v>
      </c>
      <c r="J14" s="715">
        <f t="shared" si="1"/>
        <v>17858291</v>
      </c>
      <c r="K14" s="715">
        <f>SUM(K15:K16)</f>
        <v>14383753</v>
      </c>
    </row>
    <row r="15" spans="1:11" ht="12.75" customHeight="1">
      <c r="A15" s="1829" t="s">
        <v>55</v>
      </c>
      <c r="B15" s="1830"/>
      <c r="C15" s="310" t="s">
        <v>534</v>
      </c>
      <c r="D15" s="311"/>
      <c r="E15" s="312">
        <v>4146000</v>
      </c>
      <c r="F15" s="711">
        <v>3982020</v>
      </c>
      <c r="G15" s="711">
        <v>3982020</v>
      </c>
      <c r="H15" s="711">
        <v>4209902</v>
      </c>
      <c r="I15" s="711">
        <v>4209902</v>
      </c>
      <c r="J15" s="711">
        <v>4315311</v>
      </c>
      <c r="K15" s="711">
        <v>4746312</v>
      </c>
    </row>
    <row r="16" spans="1:11" ht="12.75" customHeight="1">
      <c r="A16" s="1821" t="s">
        <v>57</v>
      </c>
      <c r="B16" s="1822"/>
      <c r="C16" s="313" t="s">
        <v>535</v>
      </c>
      <c r="D16" s="289"/>
      <c r="E16" s="314">
        <v>10673000</v>
      </c>
      <c r="F16" s="712">
        <v>13542980</v>
      </c>
      <c r="G16" s="712">
        <v>13542980</v>
      </c>
      <c r="H16" s="712">
        <v>13542980</v>
      </c>
      <c r="I16" s="712">
        <v>13542980</v>
      </c>
      <c r="J16" s="712">
        <v>13542980</v>
      </c>
      <c r="K16" s="712">
        <v>9637441</v>
      </c>
    </row>
    <row r="17" spans="1:11" s="1" customFormat="1" ht="12.75" customHeight="1" thickBot="1">
      <c r="A17" s="1821" t="s">
        <v>86</v>
      </c>
      <c r="B17" s="1822"/>
      <c r="C17" s="1834" t="s">
        <v>243</v>
      </c>
      <c r="D17" s="1834"/>
      <c r="E17" s="718">
        <v>330000</v>
      </c>
      <c r="F17" s="1012">
        <v>325007</v>
      </c>
      <c r="G17" s="1012">
        <v>325007</v>
      </c>
      <c r="H17" s="1012">
        <v>325007</v>
      </c>
      <c r="I17" s="1012">
        <v>325007</v>
      </c>
      <c r="J17" s="1012">
        <v>325007</v>
      </c>
      <c r="K17" s="1012">
        <v>325007</v>
      </c>
    </row>
    <row r="18" spans="1:11" s="1" customFormat="1" ht="18" customHeight="1" thickBot="1">
      <c r="A18" s="1826" t="s">
        <v>59</v>
      </c>
      <c r="B18" s="1827"/>
      <c r="C18" s="1819" t="s">
        <v>546</v>
      </c>
      <c r="D18" s="1819"/>
      <c r="E18" s="716">
        <f aca="true" t="shared" si="2" ref="E18:J18">SUM(E14+E17)</f>
        <v>15149000</v>
      </c>
      <c r="F18" s="717">
        <f t="shared" si="2"/>
        <v>17850007</v>
      </c>
      <c r="G18" s="717">
        <f t="shared" si="2"/>
        <v>17850007</v>
      </c>
      <c r="H18" s="717">
        <f t="shared" si="2"/>
        <v>18077889</v>
      </c>
      <c r="I18" s="717">
        <f t="shared" si="2"/>
        <v>18077889</v>
      </c>
      <c r="J18" s="717">
        <f t="shared" si="2"/>
        <v>18183298</v>
      </c>
      <c r="K18" s="717">
        <f>SUM(K14+K17)</f>
        <v>14708760</v>
      </c>
    </row>
    <row r="19" spans="1:11" s="551" customFormat="1" ht="16.5" thickBot="1">
      <c r="A19" s="1832" t="s">
        <v>61</v>
      </c>
      <c r="B19" s="1833"/>
      <c r="C19" s="719" t="s">
        <v>116</v>
      </c>
      <c r="D19" s="720"/>
      <c r="E19" s="721">
        <f aca="true" t="shared" si="3" ref="E19:J19">SUM(E9+E14+E17)</f>
        <v>15449000</v>
      </c>
      <c r="F19" s="722">
        <f t="shared" si="3"/>
        <v>18150000</v>
      </c>
      <c r="G19" s="722">
        <f t="shared" si="3"/>
        <v>18150000</v>
      </c>
      <c r="H19" s="722">
        <f t="shared" si="3"/>
        <v>18377882</v>
      </c>
      <c r="I19" s="722">
        <f t="shared" si="3"/>
        <v>18377882</v>
      </c>
      <c r="J19" s="722">
        <f t="shared" si="3"/>
        <v>18585398</v>
      </c>
      <c r="K19" s="722">
        <f>SUM(K9+K14+K17)</f>
        <v>15216808</v>
      </c>
    </row>
    <row r="20" spans="1:11" s="117" customFormat="1" ht="12.75" customHeight="1" thickBot="1">
      <c r="A20" s="161"/>
      <c r="B20" s="161"/>
      <c r="C20" s="162"/>
      <c r="D20" s="162"/>
      <c r="E20" s="173"/>
      <c r="F20" s="173"/>
      <c r="G20" s="173"/>
      <c r="H20" s="173"/>
      <c r="I20" s="173"/>
      <c r="J20" s="173"/>
      <c r="K20" s="173"/>
    </row>
    <row r="21" spans="1:11" ht="49.5" customHeight="1" thickBot="1">
      <c r="A21" s="1835" t="s">
        <v>156</v>
      </c>
      <c r="B21" s="1836"/>
      <c r="C21" s="568" t="s">
        <v>119</v>
      </c>
      <c r="D21" s="733" t="s">
        <v>547</v>
      </c>
      <c r="E21" s="619" t="s">
        <v>158</v>
      </c>
      <c r="F21" s="734" t="s">
        <v>159</v>
      </c>
      <c r="G21" s="734" t="s">
        <v>793</v>
      </c>
      <c r="H21" s="734" t="s">
        <v>803</v>
      </c>
      <c r="I21" s="734" t="s">
        <v>885</v>
      </c>
      <c r="J21" s="734" t="s">
        <v>891</v>
      </c>
      <c r="K21" s="734" t="s">
        <v>947</v>
      </c>
    </row>
    <row r="22" spans="1:11" ht="12.75" customHeight="1" thickBot="1">
      <c r="A22" s="1837"/>
      <c r="B22" s="1838"/>
      <c r="C22" s="745" t="s">
        <v>161</v>
      </c>
      <c r="D22" s="532" t="s">
        <v>162</v>
      </c>
      <c r="E22" s="746" t="s">
        <v>163</v>
      </c>
      <c r="F22" s="573" t="s">
        <v>164</v>
      </c>
      <c r="G22" s="573" t="s">
        <v>505</v>
      </c>
      <c r="H22" s="573" t="s">
        <v>525</v>
      </c>
      <c r="I22" s="573" t="s">
        <v>804</v>
      </c>
      <c r="J22" s="573" t="s">
        <v>890</v>
      </c>
      <c r="K22" s="573" t="s">
        <v>895</v>
      </c>
    </row>
    <row r="23" spans="1:11" ht="12.75" customHeight="1">
      <c r="A23" s="741" t="s">
        <v>38</v>
      </c>
      <c r="B23" s="742" t="s">
        <v>167</v>
      </c>
      <c r="C23" s="743" t="s">
        <v>384</v>
      </c>
      <c r="D23" s="744">
        <v>2.5</v>
      </c>
      <c r="E23" s="698">
        <f aca="true" t="shared" si="4" ref="E23:J23">SUM(E24+E25+E26+E28)</f>
        <v>12086000</v>
      </c>
      <c r="F23" s="699">
        <f t="shared" si="4"/>
        <v>13137000</v>
      </c>
      <c r="G23" s="699">
        <f t="shared" si="4"/>
        <v>13137000</v>
      </c>
      <c r="H23" s="699">
        <f t="shared" si="4"/>
        <v>13364882</v>
      </c>
      <c r="I23" s="699">
        <f t="shared" si="4"/>
        <v>13364882</v>
      </c>
      <c r="J23" s="699">
        <f t="shared" si="4"/>
        <v>13572398</v>
      </c>
      <c r="K23" s="699">
        <f>SUM(K24+K25+K26+K28)</f>
        <v>13726808</v>
      </c>
    </row>
    <row r="24" spans="1:11" ht="12.75" customHeight="1">
      <c r="A24" s="736" t="s">
        <v>40</v>
      </c>
      <c r="B24" s="488"/>
      <c r="C24" s="489" t="s">
        <v>264</v>
      </c>
      <c r="D24" s="726"/>
      <c r="E24" s="727">
        <v>5803000</v>
      </c>
      <c r="F24" s="737">
        <v>6780000</v>
      </c>
      <c r="G24" s="737">
        <v>6780000</v>
      </c>
      <c r="H24" s="737">
        <v>6965027</v>
      </c>
      <c r="I24" s="737">
        <v>6965027</v>
      </c>
      <c r="J24" s="737">
        <v>7051428</v>
      </c>
      <c r="K24" s="737">
        <v>7188879</v>
      </c>
    </row>
    <row r="25" spans="1:11" ht="12.75" customHeight="1">
      <c r="A25" s="736" t="s">
        <v>47</v>
      </c>
      <c r="B25" s="488"/>
      <c r="C25" s="489" t="s">
        <v>265</v>
      </c>
      <c r="D25" s="726"/>
      <c r="E25" s="727">
        <v>1730000</v>
      </c>
      <c r="F25" s="737">
        <v>1527000</v>
      </c>
      <c r="G25" s="737">
        <v>1527000</v>
      </c>
      <c r="H25" s="737">
        <v>1569855</v>
      </c>
      <c r="I25" s="737">
        <v>1569855</v>
      </c>
      <c r="J25" s="737">
        <v>1588863</v>
      </c>
      <c r="K25" s="737">
        <v>1539888</v>
      </c>
    </row>
    <row r="26" spans="1:11" ht="12.75" customHeight="1">
      <c r="A26" s="736" t="s">
        <v>49</v>
      </c>
      <c r="B26" s="488"/>
      <c r="C26" s="489" t="s">
        <v>266</v>
      </c>
      <c r="D26" s="726"/>
      <c r="E26" s="727">
        <v>4155000</v>
      </c>
      <c r="F26" s="737">
        <v>4430000</v>
      </c>
      <c r="G26" s="737">
        <v>4430000</v>
      </c>
      <c r="H26" s="737">
        <v>4430000</v>
      </c>
      <c r="I26" s="737">
        <v>4430000</v>
      </c>
      <c r="J26" s="737">
        <v>4532107</v>
      </c>
      <c r="K26" s="737">
        <v>4294264</v>
      </c>
    </row>
    <row r="27" spans="1:11" s="334" customFormat="1" ht="12.75" customHeight="1">
      <c r="A27" s="738" t="s">
        <v>51</v>
      </c>
      <c r="B27" s="729"/>
      <c r="C27" s="730" t="s">
        <v>718</v>
      </c>
      <c r="D27" s="731"/>
      <c r="E27" s="732"/>
      <c r="F27" s="739">
        <v>1200000</v>
      </c>
      <c r="G27" s="739">
        <v>1200000</v>
      </c>
      <c r="H27" s="739">
        <v>1200000</v>
      </c>
      <c r="I27" s="739">
        <v>1200000</v>
      </c>
      <c r="J27" s="739">
        <v>1200000</v>
      </c>
      <c r="K27" s="739">
        <v>1308800</v>
      </c>
    </row>
    <row r="28" spans="1:11" ht="12.75" customHeight="1">
      <c r="A28" s="736" t="s">
        <v>53</v>
      </c>
      <c r="B28" s="488"/>
      <c r="C28" s="489" t="s">
        <v>263</v>
      </c>
      <c r="D28" s="726"/>
      <c r="E28" s="727">
        <v>398000</v>
      </c>
      <c r="F28" s="737">
        <f>SUM('6. 7.8. M  '!D15)</f>
        <v>400000</v>
      </c>
      <c r="G28" s="737">
        <f>SUM('6. 7.8. M  '!E15)</f>
        <v>400000</v>
      </c>
      <c r="H28" s="737">
        <f>SUM('6. 7.8. M  '!F15)</f>
        <v>400000</v>
      </c>
      <c r="I28" s="737">
        <f>SUM('6. 7.8. M  '!G15)</f>
        <v>400000</v>
      </c>
      <c r="J28" s="737">
        <f>SUM('6. 7.8. M  '!H15)</f>
        <v>400000</v>
      </c>
      <c r="K28" s="737">
        <v>703777</v>
      </c>
    </row>
    <row r="29" spans="1:11" ht="12.75" customHeight="1">
      <c r="A29" s="735" t="s">
        <v>55</v>
      </c>
      <c r="B29" s="723" t="s">
        <v>169</v>
      </c>
      <c r="C29" s="728" t="s">
        <v>716</v>
      </c>
      <c r="D29" s="725">
        <v>0.5</v>
      </c>
      <c r="E29" s="662">
        <f aca="true" t="shared" si="5" ref="E29:J29">SUM(E30:E32)</f>
        <v>2001000</v>
      </c>
      <c r="F29" s="670">
        <f t="shared" si="5"/>
        <v>3613000</v>
      </c>
      <c r="G29" s="670">
        <f t="shared" si="5"/>
        <v>3613000</v>
      </c>
      <c r="H29" s="670">
        <f t="shared" si="5"/>
        <v>3613000</v>
      </c>
      <c r="I29" s="670">
        <f t="shared" si="5"/>
        <v>3613000</v>
      </c>
      <c r="J29" s="670">
        <f t="shared" si="5"/>
        <v>3613000</v>
      </c>
      <c r="K29" s="670">
        <f>SUM(K30:K32)</f>
        <v>1190000</v>
      </c>
    </row>
    <row r="30" spans="1:11" ht="12.75" customHeight="1">
      <c r="A30" s="736" t="s">
        <v>57</v>
      </c>
      <c r="B30" s="488"/>
      <c r="C30" s="489" t="s">
        <v>264</v>
      </c>
      <c r="D30" s="726"/>
      <c r="E30" s="727">
        <v>786000</v>
      </c>
      <c r="F30" s="737">
        <v>1855000</v>
      </c>
      <c r="G30" s="737">
        <v>1855000</v>
      </c>
      <c r="H30" s="737">
        <v>1855000</v>
      </c>
      <c r="I30" s="737">
        <v>1855000</v>
      </c>
      <c r="J30" s="737">
        <v>1855000</v>
      </c>
      <c r="K30" s="737">
        <v>500000</v>
      </c>
    </row>
    <row r="31" spans="1:11" ht="12.75" customHeight="1">
      <c r="A31" s="736" t="s">
        <v>86</v>
      </c>
      <c r="B31" s="488"/>
      <c r="C31" s="489" t="s">
        <v>265</v>
      </c>
      <c r="D31" s="726"/>
      <c r="E31" s="727">
        <v>215000</v>
      </c>
      <c r="F31" s="737">
        <v>758000</v>
      </c>
      <c r="G31" s="737">
        <v>758000</v>
      </c>
      <c r="H31" s="737">
        <v>758000</v>
      </c>
      <c r="I31" s="737">
        <v>758000</v>
      </c>
      <c r="J31" s="737">
        <v>758000</v>
      </c>
      <c r="K31" s="737">
        <v>190000</v>
      </c>
    </row>
    <row r="32" spans="1:11" ht="12.75" customHeight="1">
      <c r="A32" s="736" t="s">
        <v>59</v>
      </c>
      <c r="B32" s="488"/>
      <c r="C32" s="489" t="s">
        <v>266</v>
      </c>
      <c r="D32" s="726"/>
      <c r="E32" s="727">
        <v>1000000</v>
      </c>
      <c r="F32" s="737">
        <v>1000000</v>
      </c>
      <c r="G32" s="737">
        <v>1000000</v>
      </c>
      <c r="H32" s="737">
        <v>1000000</v>
      </c>
      <c r="I32" s="737">
        <v>1000000</v>
      </c>
      <c r="J32" s="737">
        <v>1000000</v>
      </c>
      <c r="K32" s="737">
        <v>500000</v>
      </c>
    </row>
    <row r="33" spans="1:11" s="334" customFormat="1" ht="12.75" customHeight="1">
      <c r="A33" s="738" t="s">
        <v>61</v>
      </c>
      <c r="B33" s="729"/>
      <c r="C33" s="730" t="s">
        <v>717</v>
      </c>
      <c r="D33" s="731"/>
      <c r="E33" s="732"/>
      <c r="F33" s="739">
        <v>400000</v>
      </c>
      <c r="G33" s="739">
        <v>400000</v>
      </c>
      <c r="H33" s="739">
        <v>400000</v>
      </c>
      <c r="I33" s="739">
        <v>400000</v>
      </c>
      <c r="J33" s="739">
        <v>400000</v>
      </c>
      <c r="K33" s="739">
        <v>400000</v>
      </c>
    </row>
    <row r="34" spans="1:11" s="12" customFormat="1" ht="12.75" customHeight="1">
      <c r="A34" s="740" t="s">
        <v>63</v>
      </c>
      <c r="B34" s="723" t="s">
        <v>176</v>
      </c>
      <c r="C34" s="728" t="s">
        <v>548</v>
      </c>
      <c r="D34" s="725"/>
      <c r="E34" s="662">
        <f aca="true" t="shared" si="6" ref="E34:J34">SUM(E35:E37)</f>
        <v>669000</v>
      </c>
      <c r="F34" s="670">
        <f t="shared" si="6"/>
        <v>700000</v>
      </c>
      <c r="G34" s="670">
        <f t="shared" si="6"/>
        <v>700000</v>
      </c>
      <c r="H34" s="670">
        <f t="shared" si="6"/>
        <v>700000</v>
      </c>
      <c r="I34" s="670">
        <f t="shared" si="6"/>
        <v>700000</v>
      </c>
      <c r="J34" s="670">
        <f t="shared" si="6"/>
        <v>700000</v>
      </c>
      <c r="K34" s="670">
        <f>SUM(K35:K37)</f>
        <v>0</v>
      </c>
    </row>
    <row r="35" spans="1:11" ht="12.75" customHeight="1">
      <c r="A35" s="736" t="s">
        <v>65</v>
      </c>
      <c r="B35" s="488"/>
      <c r="C35" s="489" t="s">
        <v>264</v>
      </c>
      <c r="D35" s="726"/>
      <c r="E35" s="727"/>
      <c r="F35" s="737">
        <v>0</v>
      </c>
      <c r="G35" s="737">
        <v>0</v>
      </c>
      <c r="H35" s="737">
        <v>0</v>
      </c>
      <c r="I35" s="737">
        <v>0</v>
      </c>
      <c r="J35" s="737">
        <v>0</v>
      </c>
      <c r="K35" s="737">
        <v>0</v>
      </c>
    </row>
    <row r="36" spans="1:11" ht="12.75" customHeight="1">
      <c r="A36" s="736" t="s">
        <v>92</v>
      </c>
      <c r="B36" s="488"/>
      <c r="C36" s="489" t="s">
        <v>265</v>
      </c>
      <c r="D36" s="726"/>
      <c r="E36" s="727"/>
      <c r="F36" s="737">
        <v>0</v>
      </c>
      <c r="G36" s="737">
        <v>0</v>
      </c>
      <c r="H36" s="737">
        <v>0</v>
      </c>
      <c r="I36" s="737">
        <v>0</v>
      </c>
      <c r="J36" s="737">
        <v>0</v>
      </c>
      <c r="K36" s="737">
        <v>0</v>
      </c>
    </row>
    <row r="37" spans="1:11" ht="12.75" customHeight="1">
      <c r="A37" s="736" t="s">
        <v>66</v>
      </c>
      <c r="B37" s="488"/>
      <c r="C37" s="489" t="s">
        <v>266</v>
      </c>
      <c r="D37" s="726"/>
      <c r="E37" s="727">
        <v>669000</v>
      </c>
      <c r="F37" s="737">
        <v>700000</v>
      </c>
      <c r="G37" s="737">
        <v>700000</v>
      </c>
      <c r="H37" s="737">
        <v>700000</v>
      </c>
      <c r="I37" s="737">
        <v>700000</v>
      </c>
      <c r="J37" s="737">
        <v>700000</v>
      </c>
      <c r="K37" s="737">
        <v>0</v>
      </c>
    </row>
    <row r="38" spans="1:11" ht="33" customHeight="1">
      <c r="A38" s="735" t="s">
        <v>67</v>
      </c>
      <c r="B38" s="723" t="s">
        <v>186</v>
      </c>
      <c r="C38" s="724" t="s">
        <v>549</v>
      </c>
      <c r="D38" s="725"/>
      <c r="E38" s="662">
        <f aca="true" t="shared" si="7" ref="E38:J38">SUM(E39:E41)</f>
        <v>693000</v>
      </c>
      <c r="F38" s="670">
        <f t="shared" si="7"/>
        <v>700000</v>
      </c>
      <c r="G38" s="670">
        <f t="shared" si="7"/>
        <v>700000</v>
      </c>
      <c r="H38" s="670">
        <f t="shared" si="7"/>
        <v>700000</v>
      </c>
      <c r="I38" s="670">
        <f t="shared" si="7"/>
        <v>700000</v>
      </c>
      <c r="J38" s="670">
        <f t="shared" si="7"/>
        <v>700000</v>
      </c>
      <c r="K38" s="670">
        <f>SUM(K39:K41)</f>
        <v>300000</v>
      </c>
    </row>
    <row r="39" spans="1:11" ht="12.75" customHeight="1">
      <c r="A39" s="736" t="s">
        <v>68</v>
      </c>
      <c r="B39" s="488"/>
      <c r="C39" s="489" t="s">
        <v>264</v>
      </c>
      <c r="D39" s="726"/>
      <c r="E39" s="727"/>
      <c r="F39" s="737">
        <v>0</v>
      </c>
      <c r="G39" s="737">
        <v>0</v>
      </c>
      <c r="H39" s="737">
        <v>0</v>
      </c>
      <c r="I39" s="737">
        <v>0</v>
      </c>
      <c r="J39" s="737">
        <v>0</v>
      </c>
      <c r="K39" s="737">
        <v>0</v>
      </c>
    </row>
    <row r="40" spans="1:11" ht="12.75" customHeight="1">
      <c r="A40" s="736" t="s">
        <v>70</v>
      </c>
      <c r="B40" s="488"/>
      <c r="C40" s="489" t="s">
        <v>265</v>
      </c>
      <c r="D40" s="726"/>
      <c r="E40" s="727"/>
      <c r="F40" s="737">
        <v>0</v>
      </c>
      <c r="G40" s="737">
        <v>0</v>
      </c>
      <c r="H40" s="737">
        <v>0</v>
      </c>
      <c r="I40" s="737">
        <v>0</v>
      </c>
      <c r="J40" s="737">
        <v>0</v>
      </c>
      <c r="K40" s="737">
        <v>0</v>
      </c>
    </row>
    <row r="41" spans="1:11" ht="12.75" customHeight="1" thickBot="1">
      <c r="A41" s="747" t="s">
        <v>97</v>
      </c>
      <c r="B41" s="748"/>
      <c r="C41" s="749" t="s">
        <v>266</v>
      </c>
      <c r="D41" s="750"/>
      <c r="E41" s="751">
        <v>693000</v>
      </c>
      <c r="F41" s="752">
        <v>700000</v>
      </c>
      <c r="G41" s="752">
        <v>700000</v>
      </c>
      <c r="H41" s="752">
        <v>700000</v>
      </c>
      <c r="I41" s="752">
        <v>700000</v>
      </c>
      <c r="J41" s="752">
        <v>700000</v>
      </c>
      <c r="K41" s="752">
        <v>300000</v>
      </c>
    </row>
    <row r="42" spans="1:11" s="551" customFormat="1" ht="32.25" thickBot="1">
      <c r="A42" s="1330" t="s">
        <v>99</v>
      </c>
      <c r="B42" s="1331" t="s">
        <v>187</v>
      </c>
      <c r="C42" s="1332" t="s">
        <v>806</v>
      </c>
      <c r="D42" s="1333">
        <f>SUM(D22:D32)</f>
        <v>3</v>
      </c>
      <c r="E42" s="1334">
        <f aca="true" t="shared" si="8" ref="E42:J42">SUM(E43:E46)</f>
        <v>15449000</v>
      </c>
      <c r="F42" s="1335">
        <f t="shared" si="8"/>
        <v>18150000</v>
      </c>
      <c r="G42" s="1335">
        <f t="shared" si="8"/>
        <v>18150000</v>
      </c>
      <c r="H42" s="1335">
        <f t="shared" si="8"/>
        <v>18377882</v>
      </c>
      <c r="I42" s="1335">
        <f t="shared" si="8"/>
        <v>18377882</v>
      </c>
      <c r="J42" s="1335">
        <f t="shared" si="8"/>
        <v>18585398</v>
      </c>
      <c r="K42" s="1335">
        <f>SUM(K43:K46)</f>
        <v>15216808</v>
      </c>
    </row>
    <row r="43" spans="1:11" ht="12.75" customHeight="1">
      <c r="A43" s="1339" t="s">
        <v>101</v>
      </c>
      <c r="B43" s="1340"/>
      <c r="C43" s="1341" t="s">
        <v>264</v>
      </c>
      <c r="D43" s="1342"/>
      <c r="E43" s="1341">
        <f aca="true" t="shared" si="9" ref="E43:F45">E24+E30+E35+E39</f>
        <v>6589000</v>
      </c>
      <c r="F43" s="1343">
        <f t="shared" si="9"/>
        <v>8635000</v>
      </c>
      <c r="G43" s="1343">
        <f aca="true" t="shared" si="10" ref="G43:H45">G24+G30+G35+G39</f>
        <v>8635000</v>
      </c>
      <c r="H43" s="1344">
        <f t="shared" si="10"/>
        <v>8820027</v>
      </c>
      <c r="I43" s="1344">
        <f aca="true" t="shared" si="11" ref="I43:J45">I24+I30+I35+I39</f>
        <v>8820027</v>
      </c>
      <c r="J43" s="1344">
        <f t="shared" si="11"/>
        <v>8906428</v>
      </c>
      <c r="K43" s="1344">
        <f>K24+K30+K35+K39</f>
        <v>7688879</v>
      </c>
    </row>
    <row r="44" spans="1:11" ht="12.75" customHeight="1">
      <c r="A44" s="736" t="s">
        <v>103</v>
      </c>
      <c r="B44" s="1320"/>
      <c r="C44" s="646" t="s">
        <v>265</v>
      </c>
      <c r="D44" s="1321"/>
      <c r="E44" s="646">
        <f t="shared" si="9"/>
        <v>1945000</v>
      </c>
      <c r="F44" s="1336">
        <f t="shared" si="9"/>
        <v>2285000</v>
      </c>
      <c r="G44" s="1336">
        <f t="shared" si="10"/>
        <v>2285000</v>
      </c>
      <c r="H44" s="1345">
        <f t="shared" si="10"/>
        <v>2327855</v>
      </c>
      <c r="I44" s="1345">
        <f t="shared" si="11"/>
        <v>2327855</v>
      </c>
      <c r="J44" s="1345">
        <f t="shared" si="11"/>
        <v>2346863</v>
      </c>
      <c r="K44" s="1345">
        <f>K25+K31+K36+K40</f>
        <v>1729888</v>
      </c>
    </row>
    <row r="45" spans="1:11" ht="12.75" customHeight="1">
      <c r="A45" s="736" t="s">
        <v>105</v>
      </c>
      <c r="B45" s="1320"/>
      <c r="C45" s="646" t="s">
        <v>266</v>
      </c>
      <c r="D45" s="1321"/>
      <c r="E45" s="646">
        <f t="shared" si="9"/>
        <v>6517000</v>
      </c>
      <c r="F45" s="1336">
        <f t="shared" si="9"/>
        <v>6830000</v>
      </c>
      <c r="G45" s="1336">
        <f t="shared" si="10"/>
        <v>6830000</v>
      </c>
      <c r="H45" s="1345">
        <f t="shared" si="10"/>
        <v>6830000</v>
      </c>
      <c r="I45" s="1345">
        <f t="shared" si="11"/>
        <v>6830000</v>
      </c>
      <c r="J45" s="1345">
        <f t="shared" si="11"/>
        <v>6932107</v>
      </c>
      <c r="K45" s="1345">
        <f>K26+K32+K37+K41</f>
        <v>5094264</v>
      </c>
    </row>
    <row r="46" spans="1:11" ht="12.75" customHeight="1">
      <c r="A46" s="736" t="s">
        <v>107</v>
      </c>
      <c r="B46" s="1320"/>
      <c r="C46" s="646" t="s">
        <v>263</v>
      </c>
      <c r="D46" s="1321"/>
      <c r="E46" s="1337">
        <f aca="true" t="shared" si="12" ref="E46:J46">SUM(E28)</f>
        <v>398000</v>
      </c>
      <c r="F46" s="1338">
        <f t="shared" si="12"/>
        <v>400000</v>
      </c>
      <c r="G46" s="1338">
        <f t="shared" si="12"/>
        <v>400000</v>
      </c>
      <c r="H46" s="1346">
        <f t="shared" si="12"/>
        <v>400000</v>
      </c>
      <c r="I46" s="1346">
        <f t="shared" si="12"/>
        <v>400000</v>
      </c>
      <c r="J46" s="1346">
        <f t="shared" si="12"/>
        <v>400000</v>
      </c>
      <c r="K46" s="1346">
        <f>SUM(K28)</f>
        <v>703777</v>
      </c>
    </row>
    <row r="47" spans="1:11" s="1326" customFormat="1" ht="12.75" customHeight="1">
      <c r="A47" s="1347" t="s">
        <v>109</v>
      </c>
      <c r="B47" s="1323"/>
      <c r="C47" s="1323" t="s">
        <v>882</v>
      </c>
      <c r="D47" s="1323"/>
      <c r="E47" s="1325"/>
      <c r="F47" s="1325"/>
      <c r="G47" s="1325"/>
      <c r="H47" s="1348">
        <v>0</v>
      </c>
      <c r="I47" s="1348">
        <v>0</v>
      </c>
      <c r="J47" s="1348">
        <v>0</v>
      </c>
      <c r="K47" s="1348">
        <v>703777</v>
      </c>
    </row>
    <row r="48" spans="1:11" s="872" customFormat="1" ht="12.75" customHeight="1" thickBot="1">
      <c r="A48" s="1349" t="s">
        <v>111</v>
      </c>
      <c r="B48" s="1350"/>
      <c r="C48" s="1350" t="s">
        <v>883</v>
      </c>
      <c r="D48" s="1350"/>
      <c r="E48" s="1351"/>
      <c r="F48" s="1351"/>
      <c r="G48" s="1351"/>
      <c r="H48" s="1352">
        <v>400000</v>
      </c>
      <c r="I48" s="1352">
        <v>400000</v>
      </c>
      <c r="J48" s="1352">
        <v>400000</v>
      </c>
      <c r="K48" s="1352"/>
    </row>
  </sheetData>
  <sheetProtection selectLockedCells="1" selectUnlockedCells="1"/>
  <mergeCells count="22">
    <mergeCell ref="A21:B22"/>
    <mergeCell ref="A8:B8"/>
    <mergeCell ref="A9:B9"/>
    <mergeCell ref="A13:B13"/>
    <mergeCell ref="A14:B14"/>
    <mergeCell ref="A17:B17"/>
    <mergeCell ref="E6:K6"/>
    <mergeCell ref="A15:B15"/>
    <mergeCell ref="A2:K2"/>
    <mergeCell ref="A19:B19"/>
    <mergeCell ref="A7:B7"/>
    <mergeCell ref="C17:D17"/>
    <mergeCell ref="A4:K4"/>
    <mergeCell ref="C3:K3"/>
    <mergeCell ref="C18:D18"/>
    <mergeCell ref="A1:K1"/>
    <mergeCell ref="A16:B16"/>
    <mergeCell ref="A10:B10"/>
    <mergeCell ref="A11:B11"/>
    <mergeCell ref="A12:B12"/>
    <mergeCell ref="A18:B18"/>
    <mergeCell ref="C7:D7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K47"/>
  <sheetViews>
    <sheetView view="pageBreakPreview" zoomScaleSheetLayoutView="100" zoomScalePageLayoutView="0" workbookViewId="0" topLeftCell="A1">
      <selection activeCell="A1" sqref="A1:K1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29.140625" style="0" customWidth="1"/>
    <col min="4" max="4" width="7.00390625" style="0" customWidth="1"/>
    <col min="5" max="5" width="25.421875" style="265" hidden="1" customWidth="1"/>
    <col min="6" max="11" width="20.00390625" style="265" customWidth="1"/>
  </cols>
  <sheetData>
    <row r="1" spans="1:11" s="305" customFormat="1" ht="18" customHeight="1">
      <c r="A1" s="1850" t="s">
        <v>544</v>
      </c>
      <c r="B1" s="1850"/>
      <c r="C1" s="1850"/>
      <c r="D1" s="1850"/>
      <c r="E1" s="1850"/>
      <c r="F1" s="1850"/>
      <c r="G1" s="1850"/>
      <c r="H1" s="1850"/>
      <c r="I1" s="1850"/>
      <c r="J1" s="1850"/>
      <c r="K1" s="1850"/>
    </row>
    <row r="2" spans="1:11" ht="12.75" customHeight="1">
      <c r="A2" s="1831" t="s">
        <v>1133</v>
      </c>
      <c r="B2" s="1831"/>
      <c r="C2" s="1831"/>
      <c r="D2" s="1831"/>
      <c r="E2" s="1831"/>
      <c r="F2" s="1831"/>
      <c r="G2" s="1831"/>
      <c r="H2" s="1831"/>
      <c r="I2" s="1831"/>
      <c r="J2" s="1831"/>
      <c r="K2" s="1831"/>
    </row>
    <row r="3" spans="1:11" ht="12.75" customHeight="1">
      <c r="A3" s="316"/>
      <c r="B3" s="316"/>
      <c r="C3" s="1854" t="s">
        <v>1153</v>
      </c>
      <c r="D3" s="1854"/>
      <c r="E3" s="1854"/>
      <c r="F3" s="1854"/>
      <c r="G3" s="1854"/>
      <c r="H3" s="1854"/>
      <c r="I3" s="1854"/>
      <c r="J3" s="1854"/>
      <c r="K3"/>
    </row>
    <row r="4" spans="1:11" ht="12.75" customHeight="1">
      <c r="A4" s="316"/>
      <c r="B4" s="316"/>
      <c r="C4" s="316"/>
      <c r="D4" s="316"/>
      <c r="E4" s="316"/>
      <c r="F4"/>
      <c r="G4"/>
      <c r="H4"/>
      <c r="I4"/>
      <c r="J4"/>
      <c r="K4"/>
    </row>
    <row r="5" spans="1:11" ht="42.75" customHeight="1">
      <c r="A5" s="1849" t="s">
        <v>551</v>
      </c>
      <c r="B5" s="1849"/>
      <c r="C5" s="1849"/>
      <c r="D5" s="1849"/>
      <c r="E5" s="1849"/>
      <c r="F5" s="1849"/>
      <c r="G5" s="1849"/>
      <c r="H5" s="1849"/>
      <c r="I5" s="1849"/>
      <c r="J5" s="1849"/>
      <c r="K5" s="1849"/>
    </row>
    <row r="6" spans="3:4" ht="18.75" customHeight="1">
      <c r="C6" s="306"/>
      <c r="D6" s="306"/>
    </row>
    <row r="7" spans="5:11" ht="12.75" customHeight="1" thickBot="1">
      <c r="E7" s="1853" t="s">
        <v>155</v>
      </c>
      <c r="F7" s="1853"/>
      <c r="G7" s="1853"/>
      <c r="H7" s="1853"/>
      <c r="I7" s="1853"/>
      <c r="J7" s="1853"/>
      <c r="K7"/>
    </row>
    <row r="8" spans="1:11" ht="56.25" customHeight="1" thickBot="1">
      <c r="A8" s="1851" t="s">
        <v>156</v>
      </c>
      <c r="B8" s="1851"/>
      <c r="C8" s="1852" t="s">
        <v>157</v>
      </c>
      <c r="D8" s="1852"/>
      <c r="E8" s="317" t="s">
        <v>158</v>
      </c>
      <c r="F8" s="1552" t="s">
        <v>159</v>
      </c>
      <c r="G8" s="318" t="s">
        <v>793</v>
      </c>
      <c r="H8" s="318" t="s">
        <v>803</v>
      </c>
      <c r="I8" s="318" t="s">
        <v>885</v>
      </c>
      <c r="J8" s="318" t="s">
        <v>891</v>
      </c>
      <c r="K8" s="318" t="s">
        <v>947</v>
      </c>
    </row>
    <row r="9" spans="1:11" ht="12.75" customHeight="1" thickBot="1">
      <c r="A9" s="1846" t="s">
        <v>161</v>
      </c>
      <c r="B9" s="1846"/>
      <c r="C9" s="1847" t="s">
        <v>162</v>
      </c>
      <c r="D9" s="1847"/>
      <c r="E9" s="1545" t="s">
        <v>163</v>
      </c>
      <c r="F9" s="1553" t="s">
        <v>164</v>
      </c>
      <c r="G9" s="1551" t="s">
        <v>505</v>
      </c>
      <c r="H9" s="1564" t="s">
        <v>525</v>
      </c>
      <c r="I9" s="319" t="s">
        <v>804</v>
      </c>
      <c r="J9" s="1564" t="s">
        <v>890</v>
      </c>
      <c r="K9" s="1564" t="s">
        <v>895</v>
      </c>
    </row>
    <row r="10" spans="1:11" ht="12.75" customHeight="1">
      <c r="A10" s="1848" t="s">
        <v>38</v>
      </c>
      <c r="B10" s="1848"/>
      <c r="C10" s="320" t="s">
        <v>242</v>
      </c>
      <c r="D10" s="321"/>
      <c r="E10" s="1546">
        <f>SUM(E11:E13)</f>
        <v>796000</v>
      </c>
      <c r="F10" s="1554">
        <f>SUM(F11:F13)</f>
        <v>480369</v>
      </c>
      <c r="G10" s="1559">
        <f>SUM(G11:G13)</f>
        <v>480369</v>
      </c>
      <c r="H10" s="1565">
        <f>SUM(H11:H14)</f>
        <v>480369</v>
      </c>
      <c r="I10" s="1559">
        <f>SUM(I11:I14)</f>
        <v>480369</v>
      </c>
      <c r="J10" s="1565">
        <f>SUM(J11:J14)</f>
        <v>480369</v>
      </c>
      <c r="K10" s="1565">
        <f>SUM(K11:K15)</f>
        <v>1057836</v>
      </c>
    </row>
    <row r="11" spans="1:11" s="148" customFormat="1" ht="12.75" customHeight="1">
      <c r="A11" s="1859" t="s">
        <v>40</v>
      </c>
      <c r="B11" s="1860"/>
      <c r="C11" s="761" t="s">
        <v>644</v>
      </c>
      <c r="D11" s="762"/>
      <c r="E11" s="1547"/>
      <c r="F11" s="1555"/>
      <c r="G11" s="1560"/>
      <c r="H11" s="1555">
        <v>50000</v>
      </c>
      <c r="I11" s="1560">
        <v>50000</v>
      </c>
      <c r="J11" s="1555">
        <v>50000</v>
      </c>
      <c r="K11" s="1555">
        <v>16000</v>
      </c>
    </row>
    <row r="12" spans="1:11" s="148" customFormat="1" ht="12.75" customHeight="1">
      <c r="A12" s="1859" t="s">
        <v>47</v>
      </c>
      <c r="B12" s="1860"/>
      <c r="C12" s="761" t="s">
        <v>179</v>
      </c>
      <c r="D12" s="762"/>
      <c r="E12" s="1547">
        <v>796000</v>
      </c>
      <c r="F12" s="1555">
        <v>380000</v>
      </c>
      <c r="G12" s="1560">
        <v>380000</v>
      </c>
      <c r="H12" s="1555">
        <v>330000</v>
      </c>
      <c r="I12" s="1560">
        <v>330000</v>
      </c>
      <c r="J12" s="1555">
        <v>330000</v>
      </c>
      <c r="K12" s="1555">
        <v>353990</v>
      </c>
    </row>
    <row r="13" spans="1:11" s="148" customFormat="1" ht="12.75" customHeight="1">
      <c r="A13" s="1861" t="s">
        <v>49</v>
      </c>
      <c r="B13" s="1862"/>
      <c r="C13" s="1189" t="s">
        <v>182</v>
      </c>
      <c r="D13" s="1190"/>
      <c r="E13" s="1548"/>
      <c r="F13" s="1556">
        <v>100369</v>
      </c>
      <c r="G13" s="1561">
        <v>100369</v>
      </c>
      <c r="H13" s="1556">
        <v>100363</v>
      </c>
      <c r="I13" s="1561">
        <v>100363</v>
      </c>
      <c r="J13" s="1556">
        <v>100363</v>
      </c>
      <c r="K13" s="1556">
        <v>93841</v>
      </c>
    </row>
    <row r="14" spans="1:11" s="148" customFormat="1" ht="12.75" customHeight="1">
      <c r="A14" s="1863" t="s">
        <v>51</v>
      </c>
      <c r="B14" s="1863"/>
      <c r="C14" s="1866" t="s">
        <v>183</v>
      </c>
      <c r="D14" s="1867"/>
      <c r="E14" s="1549"/>
      <c r="F14" s="1557"/>
      <c r="G14" s="1562"/>
      <c r="H14" s="1557">
        <v>6</v>
      </c>
      <c r="I14" s="1562">
        <v>6</v>
      </c>
      <c r="J14" s="1557">
        <v>6</v>
      </c>
      <c r="K14" s="1557">
        <v>5</v>
      </c>
    </row>
    <row r="15" spans="1:11" s="148" customFormat="1" ht="12.75" customHeight="1">
      <c r="A15" s="1864" t="s">
        <v>53</v>
      </c>
      <c r="B15" s="1865"/>
      <c r="C15" s="1868" t="s">
        <v>185</v>
      </c>
      <c r="D15" s="1869"/>
      <c r="E15" s="1548"/>
      <c r="F15" s="1556"/>
      <c r="G15" s="1561"/>
      <c r="H15" s="1556"/>
      <c r="I15" s="1561"/>
      <c r="J15" s="1556"/>
      <c r="K15" s="1556">
        <v>594000</v>
      </c>
    </row>
    <row r="16" spans="1:11" ht="12.75" customHeight="1" thickBot="1">
      <c r="A16" s="1855" t="s">
        <v>55</v>
      </c>
      <c r="B16" s="1855"/>
      <c r="C16" s="753" t="s">
        <v>189</v>
      </c>
      <c r="D16" s="754"/>
      <c r="E16" s="1550">
        <v>951000</v>
      </c>
      <c r="F16" s="1558">
        <v>0</v>
      </c>
      <c r="G16" s="1563">
        <v>0</v>
      </c>
      <c r="H16" s="1558">
        <v>0</v>
      </c>
      <c r="I16" s="1563">
        <v>0</v>
      </c>
      <c r="J16" s="1558">
        <v>0</v>
      </c>
      <c r="K16" s="1558">
        <v>0</v>
      </c>
    </row>
    <row r="17" spans="1:11" s="114" customFormat="1" ht="17.25" customHeight="1" thickBot="1">
      <c r="A17" s="1856" t="s">
        <v>57</v>
      </c>
      <c r="B17" s="1857"/>
      <c r="C17" s="1858" t="s">
        <v>532</v>
      </c>
      <c r="D17" s="1858"/>
      <c r="E17" s="672">
        <f aca="true" t="shared" si="0" ref="E17:J17">SUM(E10+E16)</f>
        <v>1747000</v>
      </c>
      <c r="F17" s="673">
        <f t="shared" si="0"/>
        <v>480369</v>
      </c>
      <c r="G17" s="673">
        <f t="shared" si="0"/>
        <v>480369</v>
      </c>
      <c r="H17" s="673">
        <f t="shared" si="0"/>
        <v>480369</v>
      </c>
      <c r="I17" s="673">
        <f t="shared" si="0"/>
        <v>480369</v>
      </c>
      <c r="J17" s="673">
        <f t="shared" si="0"/>
        <v>480369</v>
      </c>
      <c r="K17" s="673">
        <f>SUM(K10+K16)</f>
        <v>1057836</v>
      </c>
    </row>
    <row r="18" spans="1:11" s="1" customFormat="1" ht="12.75" customHeight="1">
      <c r="A18" s="1870" t="s">
        <v>86</v>
      </c>
      <c r="B18" s="1870"/>
      <c r="C18" s="755" t="s">
        <v>243</v>
      </c>
      <c r="D18" s="756"/>
      <c r="E18" s="757">
        <v>2407000</v>
      </c>
      <c r="F18" s="1013">
        <v>1959631</v>
      </c>
      <c r="G18" s="1013">
        <v>1959631</v>
      </c>
      <c r="H18" s="1013">
        <v>1959631</v>
      </c>
      <c r="I18" s="1013">
        <v>1959631</v>
      </c>
      <c r="J18" s="1013">
        <v>1959631</v>
      </c>
      <c r="K18" s="1013">
        <v>1959631</v>
      </c>
    </row>
    <row r="19" spans="1:11" ht="12.75" customHeight="1">
      <c r="A19" s="1871" t="s">
        <v>59</v>
      </c>
      <c r="B19" s="1871"/>
      <c r="C19" s="285" t="s">
        <v>545</v>
      </c>
      <c r="D19" s="284"/>
      <c r="E19" s="323">
        <f aca="true" t="shared" si="1" ref="E19:J19">SUM(E20:E21)</f>
        <v>72748000</v>
      </c>
      <c r="F19" s="323">
        <f t="shared" si="1"/>
        <v>84263000</v>
      </c>
      <c r="G19" s="323">
        <f t="shared" si="1"/>
        <v>84263000</v>
      </c>
      <c r="H19" s="323">
        <f t="shared" si="1"/>
        <v>84279510</v>
      </c>
      <c r="I19" s="323">
        <f t="shared" si="1"/>
        <v>84279510</v>
      </c>
      <c r="J19" s="323">
        <f t="shared" si="1"/>
        <v>84279510</v>
      </c>
      <c r="K19" s="323">
        <f>SUM(K20:K21)</f>
        <v>77422982</v>
      </c>
    </row>
    <row r="20" spans="1:11" s="148" customFormat="1" ht="12.75" customHeight="1">
      <c r="A20" s="1872" t="s">
        <v>61</v>
      </c>
      <c r="B20" s="1872"/>
      <c r="C20" s="1873" t="s">
        <v>534</v>
      </c>
      <c r="D20" s="1873"/>
      <c r="E20" s="323">
        <v>57819000</v>
      </c>
      <c r="F20" s="323">
        <v>60171959</v>
      </c>
      <c r="G20" s="323">
        <v>60171959</v>
      </c>
      <c r="H20" s="323">
        <v>60188469</v>
      </c>
      <c r="I20" s="323">
        <v>60188469</v>
      </c>
      <c r="J20" s="323">
        <v>60188469</v>
      </c>
      <c r="K20" s="323">
        <f>SUM(60171959)</f>
        <v>60171959</v>
      </c>
    </row>
    <row r="21" spans="1:11" s="148" customFormat="1" ht="12.75" customHeight="1" thickBot="1">
      <c r="A21" s="1874" t="s">
        <v>63</v>
      </c>
      <c r="B21" s="1874"/>
      <c r="C21" s="1875" t="s">
        <v>553</v>
      </c>
      <c r="D21" s="1875"/>
      <c r="E21" s="332">
        <v>14929000</v>
      </c>
      <c r="F21" s="332">
        <v>24091041</v>
      </c>
      <c r="G21" s="332">
        <v>24091041</v>
      </c>
      <c r="H21" s="332">
        <v>24091041</v>
      </c>
      <c r="I21" s="332">
        <v>24091041</v>
      </c>
      <c r="J21" s="332">
        <v>24091041</v>
      </c>
      <c r="K21" s="332">
        <v>17251023</v>
      </c>
    </row>
    <row r="22" spans="1:11" s="12" customFormat="1" ht="19.5" customHeight="1" thickBot="1">
      <c r="A22" s="1876" t="s">
        <v>65</v>
      </c>
      <c r="B22" s="1877"/>
      <c r="C22" s="1819" t="s">
        <v>546</v>
      </c>
      <c r="D22" s="1819"/>
      <c r="E22" s="672">
        <f aca="true" t="shared" si="2" ref="E22:J22">SUM(E18+E19)</f>
        <v>75155000</v>
      </c>
      <c r="F22" s="673">
        <f t="shared" si="2"/>
        <v>86222631</v>
      </c>
      <c r="G22" s="673">
        <f t="shared" si="2"/>
        <v>86222631</v>
      </c>
      <c r="H22" s="673">
        <f t="shared" si="2"/>
        <v>86239141</v>
      </c>
      <c r="I22" s="673">
        <f t="shared" si="2"/>
        <v>86239141</v>
      </c>
      <c r="J22" s="673">
        <f t="shared" si="2"/>
        <v>86239141</v>
      </c>
      <c r="K22" s="673">
        <f>SUM(K18+K19)</f>
        <v>79382613</v>
      </c>
    </row>
    <row r="23" spans="1:11" ht="21" customHeight="1" thickBot="1">
      <c r="A23" s="1878" t="s">
        <v>92</v>
      </c>
      <c r="B23" s="1878"/>
      <c r="C23" s="758" t="s">
        <v>116</v>
      </c>
      <c r="D23" s="759"/>
      <c r="E23" s="760">
        <f aca="true" t="shared" si="3" ref="E23:J23">SUM(E17+E22)</f>
        <v>76902000</v>
      </c>
      <c r="F23" s="760">
        <f t="shared" si="3"/>
        <v>86703000</v>
      </c>
      <c r="G23" s="760">
        <f t="shared" si="3"/>
        <v>86703000</v>
      </c>
      <c r="H23" s="760">
        <f t="shared" si="3"/>
        <v>86719510</v>
      </c>
      <c r="I23" s="760">
        <f t="shared" si="3"/>
        <v>86719510</v>
      </c>
      <c r="J23" s="760">
        <f t="shared" si="3"/>
        <v>86719510</v>
      </c>
      <c r="K23" s="760">
        <f>SUM(K17+K22)</f>
        <v>80440449</v>
      </c>
    </row>
    <row r="24" spans="1:11" ht="21" customHeight="1">
      <c r="A24" s="325"/>
      <c r="B24" s="325"/>
      <c r="C24" s="326"/>
      <c r="D24" s="326"/>
      <c r="E24" s="327"/>
      <c r="F24" s="327"/>
      <c r="G24" s="327"/>
      <c r="H24" s="327"/>
      <c r="I24" s="327"/>
      <c r="J24" s="327"/>
      <c r="K24" s="327"/>
    </row>
    <row r="25" spans="1:4" ht="12.75" customHeight="1" thickBot="1">
      <c r="A25" s="1"/>
      <c r="B25" s="1"/>
      <c r="C25" s="1"/>
      <c r="D25" s="1"/>
    </row>
    <row r="26" spans="1:11" ht="63.75" customHeight="1">
      <c r="A26" s="1656" t="s">
        <v>156</v>
      </c>
      <c r="B26" s="1656"/>
      <c r="C26" s="315" t="s">
        <v>256</v>
      </c>
      <c r="D26" s="315" t="s">
        <v>547</v>
      </c>
      <c r="E26" s="61" t="s">
        <v>158</v>
      </c>
      <c r="F26" s="328" t="s">
        <v>159</v>
      </c>
      <c r="G26" s="328" t="s">
        <v>793</v>
      </c>
      <c r="H26" s="328" t="s">
        <v>803</v>
      </c>
      <c r="I26" s="328" t="s">
        <v>885</v>
      </c>
      <c r="J26" s="328" t="s">
        <v>891</v>
      </c>
      <c r="K26" s="328" t="s">
        <v>947</v>
      </c>
    </row>
    <row r="27" spans="1:11" ht="12.75" customHeight="1">
      <c r="A27" s="1879" t="s">
        <v>161</v>
      </c>
      <c r="B27" s="1879"/>
      <c r="C27" s="174" t="s">
        <v>554</v>
      </c>
      <c r="D27" s="174" t="s">
        <v>163</v>
      </c>
      <c r="E27" s="329" t="s">
        <v>164</v>
      </c>
      <c r="F27" s="329" t="s">
        <v>505</v>
      </c>
      <c r="G27" s="329" t="s">
        <v>525</v>
      </c>
      <c r="H27" s="329" t="s">
        <v>804</v>
      </c>
      <c r="I27" s="329" t="s">
        <v>890</v>
      </c>
      <c r="J27" s="329" t="s">
        <v>895</v>
      </c>
      <c r="K27" s="329" t="s">
        <v>950</v>
      </c>
    </row>
    <row r="28" spans="1:11" ht="12.75" customHeight="1">
      <c r="A28" s="1880" t="s">
        <v>38</v>
      </c>
      <c r="B28" s="1880"/>
      <c r="C28" s="294" t="s">
        <v>280</v>
      </c>
      <c r="D28" s="295">
        <v>15</v>
      </c>
      <c r="E28" s="322">
        <f aca="true" t="shared" si="4" ref="E28:J28">SUM(E29:E32)</f>
        <v>72897000</v>
      </c>
      <c r="F28" s="322">
        <f t="shared" si="4"/>
        <v>81891000</v>
      </c>
      <c r="G28" s="322">
        <f t="shared" si="4"/>
        <v>81891000</v>
      </c>
      <c r="H28" s="322">
        <f t="shared" si="4"/>
        <v>81907510</v>
      </c>
      <c r="I28" s="322">
        <f t="shared" si="4"/>
        <v>81907510</v>
      </c>
      <c r="J28" s="322">
        <f t="shared" si="4"/>
        <v>81907510</v>
      </c>
      <c r="K28" s="322">
        <f>SUM(K29:K32)</f>
        <v>75628449</v>
      </c>
    </row>
    <row r="29" spans="1:11" ht="12.75" customHeight="1">
      <c r="A29" s="1881" t="s">
        <v>40</v>
      </c>
      <c r="B29" s="1881"/>
      <c r="C29" s="147" t="s">
        <v>264</v>
      </c>
      <c r="D29" s="190"/>
      <c r="E29" s="323">
        <v>47808000</v>
      </c>
      <c r="F29" s="323">
        <v>56215000</v>
      </c>
      <c r="G29" s="323">
        <v>56215000</v>
      </c>
      <c r="H29" s="323">
        <v>56228000</v>
      </c>
      <c r="I29" s="323">
        <v>56228000</v>
      </c>
      <c r="J29" s="323">
        <v>56228000</v>
      </c>
      <c r="K29" s="323">
        <v>52502973</v>
      </c>
    </row>
    <row r="30" spans="1:11" ht="12.75" customHeight="1">
      <c r="A30" s="1881" t="s">
        <v>47</v>
      </c>
      <c r="B30" s="1881"/>
      <c r="C30" s="147" t="s">
        <v>265</v>
      </c>
      <c r="D30" s="190"/>
      <c r="E30" s="323">
        <v>13070000</v>
      </c>
      <c r="F30" s="323">
        <v>12476000</v>
      </c>
      <c r="G30" s="323">
        <v>12476000</v>
      </c>
      <c r="H30" s="323">
        <v>12479510</v>
      </c>
      <c r="I30" s="323">
        <v>12479510</v>
      </c>
      <c r="J30" s="323">
        <v>12479510</v>
      </c>
      <c r="K30" s="323">
        <v>11712977</v>
      </c>
    </row>
    <row r="31" spans="1:11" ht="12.75" customHeight="1">
      <c r="A31" s="1881" t="s">
        <v>49</v>
      </c>
      <c r="B31" s="1881"/>
      <c r="C31" s="147" t="s">
        <v>266</v>
      </c>
      <c r="D31" s="190"/>
      <c r="E31" s="323">
        <v>12019000</v>
      </c>
      <c r="F31" s="323">
        <v>12000000</v>
      </c>
      <c r="G31" s="323">
        <v>12000000</v>
      </c>
      <c r="H31" s="323">
        <v>11925000</v>
      </c>
      <c r="I31" s="323">
        <v>11925000</v>
      </c>
      <c r="J31" s="323">
        <v>11925000</v>
      </c>
      <c r="K31" s="323">
        <v>10127032</v>
      </c>
    </row>
    <row r="32" spans="1:11" ht="12.75" customHeight="1">
      <c r="A32" s="1881" t="s">
        <v>51</v>
      </c>
      <c r="B32" s="1881"/>
      <c r="C32" s="147" t="s">
        <v>263</v>
      </c>
      <c r="D32" s="190"/>
      <c r="E32" s="323">
        <v>0</v>
      </c>
      <c r="F32" s="323">
        <f>SUM('6. 7.8. M  '!D24)</f>
        <v>1200000</v>
      </c>
      <c r="G32" s="323">
        <f>SUM('6. 7.8. M  '!E24)</f>
        <v>1200000</v>
      </c>
      <c r="H32" s="323">
        <v>1275000</v>
      </c>
      <c r="I32" s="323">
        <v>1275000</v>
      </c>
      <c r="J32" s="323">
        <v>1275000</v>
      </c>
      <c r="K32" s="323">
        <v>1285467</v>
      </c>
    </row>
    <row r="33" spans="1:11" ht="12.75" customHeight="1">
      <c r="A33" s="1882" t="s">
        <v>53</v>
      </c>
      <c r="B33" s="1882"/>
      <c r="C33" s="13" t="s">
        <v>555</v>
      </c>
      <c r="D33" s="179">
        <v>1</v>
      </c>
      <c r="E33" s="324">
        <f aca="true" t="shared" si="5" ref="E33:J33">SUM(E34:E36)</f>
        <v>3054000</v>
      </c>
      <c r="F33" s="324">
        <f t="shared" si="5"/>
        <v>4812000</v>
      </c>
      <c r="G33" s="324">
        <f t="shared" si="5"/>
        <v>4812000</v>
      </c>
      <c r="H33" s="324">
        <f t="shared" si="5"/>
        <v>4812000</v>
      </c>
      <c r="I33" s="324">
        <f t="shared" si="5"/>
        <v>4812000</v>
      </c>
      <c r="J33" s="324">
        <f t="shared" si="5"/>
        <v>4812000</v>
      </c>
      <c r="K33" s="324">
        <f>SUM(K34:K36)</f>
        <v>4812000</v>
      </c>
    </row>
    <row r="34" spans="1:11" ht="12.75" customHeight="1">
      <c r="A34" s="1881" t="s">
        <v>55</v>
      </c>
      <c r="B34" s="1881"/>
      <c r="C34" s="147" t="s">
        <v>264</v>
      </c>
      <c r="D34" s="182"/>
      <c r="E34" s="323">
        <v>2409000</v>
      </c>
      <c r="F34" s="323">
        <v>3924000</v>
      </c>
      <c r="G34" s="323">
        <v>3924000</v>
      </c>
      <c r="H34" s="323">
        <v>3924000</v>
      </c>
      <c r="I34" s="323">
        <v>3924000</v>
      </c>
      <c r="J34" s="323">
        <v>3924000</v>
      </c>
      <c r="K34" s="323">
        <v>3924000</v>
      </c>
    </row>
    <row r="35" spans="1:11" ht="12.75" customHeight="1">
      <c r="A35" s="1881" t="s">
        <v>57</v>
      </c>
      <c r="B35" s="1881"/>
      <c r="C35" s="147" t="s">
        <v>265</v>
      </c>
      <c r="D35" s="182"/>
      <c r="E35" s="323">
        <v>645000</v>
      </c>
      <c r="F35" s="323">
        <v>888000</v>
      </c>
      <c r="G35" s="323">
        <v>888000</v>
      </c>
      <c r="H35" s="323">
        <v>888000</v>
      </c>
      <c r="I35" s="323">
        <v>888000</v>
      </c>
      <c r="J35" s="323">
        <v>888000</v>
      </c>
      <c r="K35" s="323">
        <v>888000</v>
      </c>
    </row>
    <row r="36" spans="1:11" ht="12.75" customHeight="1">
      <c r="A36" s="1881" t="s">
        <v>86</v>
      </c>
      <c r="B36" s="1881"/>
      <c r="C36" s="147" t="s">
        <v>266</v>
      </c>
      <c r="D36" s="182"/>
      <c r="E36" s="323"/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</row>
    <row r="37" spans="1:11" s="12" customFormat="1" ht="12.75" customHeight="1">
      <c r="A37" s="1882" t="s">
        <v>59</v>
      </c>
      <c r="B37" s="1882"/>
      <c r="C37" s="85" t="s">
        <v>556</v>
      </c>
      <c r="D37" s="330"/>
      <c r="E37" s="331">
        <f aca="true" t="shared" si="6" ref="E37:J37">SUM(E38:E40)</f>
        <v>951000</v>
      </c>
      <c r="F37" s="331">
        <f t="shared" si="6"/>
        <v>0</v>
      </c>
      <c r="G37" s="331">
        <f t="shared" si="6"/>
        <v>0</v>
      </c>
      <c r="H37" s="331">
        <f t="shared" si="6"/>
        <v>0</v>
      </c>
      <c r="I37" s="331">
        <f t="shared" si="6"/>
        <v>0</v>
      </c>
      <c r="J37" s="331">
        <f t="shared" si="6"/>
        <v>0</v>
      </c>
      <c r="K37" s="331">
        <f>SUM(K38:K40)</f>
        <v>0</v>
      </c>
    </row>
    <row r="38" spans="1:11" ht="12.75" customHeight="1">
      <c r="A38" s="1881" t="s">
        <v>61</v>
      </c>
      <c r="B38" s="1881"/>
      <c r="C38" s="147" t="s">
        <v>264</v>
      </c>
      <c r="D38" s="235"/>
      <c r="E38" s="332">
        <v>640000</v>
      </c>
      <c r="F38" s="332"/>
      <c r="G38" s="332"/>
      <c r="H38" s="332"/>
      <c r="I38" s="332"/>
      <c r="J38" s="332"/>
      <c r="K38" s="332"/>
    </row>
    <row r="39" spans="1:11" ht="12.75" customHeight="1">
      <c r="A39" s="1881" t="s">
        <v>63</v>
      </c>
      <c r="B39" s="1881"/>
      <c r="C39" s="147" t="s">
        <v>265</v>
      </c>
      <c r="D39" s="235"/>
      <c r="E39" s="332">
        <v>175000</v>
      </c>
      <c r="F39" s="332"/>
      <c r="G39" s="332"/>
      <c r="H39" s="332"/>
      <c r="I39" s="332"/>
      <c r="J39" s="332"/>
      <c r="K39" s="332"/>
    </row>
    <row r="40" spans="1:11" ht="12.75" customHeight="1" thickBot="1">
      <c r="A40" s="1881" t="s">
        <v>65</v>
      </c>
      <c r="B40" s="1881"/>
      <c r="C40" s="147" t="s">
        <v>266</v>
      </c>
      <c r="D40" s="235"/>
      <c r="E40" s="332">
        <v>136000</v>
      </c>
      <c r="F40" s="332"/>
      <c r="G40" s="332"/>
      <c r="H40" s="332"/>
      <c r="I40" s="332"/>
      <c r="J40" s="332"/>
      <c r="K40" s="332"/>
    </row>
    <row r="41" spans="1:11" ht="36.75" customHeight="1" thickBot="1">
      <c r="A41" s="1887" t="s">
        <v>92</v>
      </c>
      <c r="B41" s="1887"/>
      <c r="C41" s="1356" t="s">
        <v>246</v>
      </c>
      <c r="D41" s="1357">
        <f>SUM(D28:D33)</f>
        <v>16</v>
      </c>
      <c r="E41" s="1358">
        <f aca="true" t="shared" si="7" ref="E41:J41">SUM(E42:E45)</f>
        <v>76902000</v>
      </c>
      <c r="F41" s="1359">
        <f t="shared" si="7"/>
        <v>86703000</v>
      </c>
      <c r="G41" s="1359">
        <f t="shared" si="7"/>
        <v>86703000</v>
      </c>
      <c r="H41" s="1359">
        <f t="shared" si="7"/>
        <v>86719510</v>
      </c>
      <c r="I41" s="1359">
        <f t="shared" si="7"/>
        <v>86719510</v>
      </c>
      <c r="J41" s="1359">
        <f t="shared" si="7"/>
        <v>86719510</v>
      </c>
      <c r="K41" s="1359">
        <f>SUM(K42:K45)</f>
        <v>80440449</v>
      </c>
    </row>
    <row r="42" spans="1:11" ht="12.75" customHeight="1">
      <c r="A42" s="1888" t="s">
        <v>66</v>
      </c>
      <c r="B42" s="1889"/>
      <c r="C42" s="1360" t="s">
        <v>264</v>
      </c>
      <c r="D42" s="1361"/>
      <c r="E42" s="1362">
        <f aca="true" t="shared" si="8" ref="E42:F44">SUM(E29+E34)+E38</f>
        <v>50857000</v>
      </c>
      <c r="F42" s="1362">
        <f t="shared" si="8"/>
        <v>60139000</v>
      </c>
      <c r="G42" s="1362">
        <f aca="true" t="shared" si="9" ref="G42:H44">SUM(G29+G34)+G38</f>
        <v>60139000</v>
      </c>
      <c r="H42" s="1363">
        <f t="shared" si="9"/>
        <v>60152000</v>
      </c>
      <c r="I42" s="1363">
        <f aca="true" t="shared" si="10" ref="I42:J44">SUM(I29+I34)+I38</f>
        <v>60152000</v>
      </c>
      <c r="J42" s="1363">
        <f t="shared" si="10"/>
        <v>60152000</v>
      </c>
      <c r="K42" s="1363">
        <f>SUM(K29+K34)+K38</f>
        <v>56426973</v>
      </c>
    </row>
    <row r="43" spans="1:11" ht="12.75" customHeight="1">
      <c r="A43" s="1890" t="s">
        <v>67</v>
      </c>
      <c r="B43" s="1891"/>
      <c r="C43" s="1316" t="s">
        <v>265</v>
      </c>
      <c r="D43" s="1317"/>
      <c r="E43" s="1353">
        <f t="shared" si="8"/>
        <v>13890000</v>
      </c>
      <c r="F43" s="1353">
        <f t="shared" si="8"/>
        <v>13364000</v>
      </c>
      <c r="G43" s="1353">
        <f t="shared" si="9"/>
        <v>13364000</v>
      </c>
      <c r="H43" s="1364">
        <f t="shared" si="9"/>
        <v>13367510</v>
      </c>
      <c r="I43" s="1364">
        <f t="shared" si="10"/>
        <v>13367510</v>
      </c>
      <c r="J43" s="1364">
        <f t="shared" si="10"/>
        <v>13367510</v>
      </c>
      <c r="K43" s="1364">
        <f>SUM(K30+K35)+K39</f>
        <v>12600977</v>
      </c>
    </row>
    <row r="44" spans="1:11" ht="12.75" customHeight="1">
      <c r="A44" s="1892" t="s">
        <v>68</v>
      </c>
      <c r="B44" s="1893"/>
      <c r="C44" s="646" t="s">
        <v>266</v>
      </c>
      <c r="D44" s="1321"/>
      <c r="E44" s="1354">
        <f t="shared" si="8"/>
        <v>12155000</v>
      </c>
      <c r="F44" s="1354">
        <f t="shared" si="8"/>
        <v>12000000</v>
      </c>
      <c r="G44" s="1354">
        <f t="shared" si="9"/>
        <v>12000000</v>
      </c>
      <c r="H44" s="1355">
        <f t="shared" si="9"/>
        <v>11925000</v>
      </c>
      <c r="I44" s="1355">
        <f t="shared" si="10"/>
        <v>11925000</v>
      </c>
      <c r="J44" s="1355">
        <f t="shared" si="10"/>
        <v>11925000</v>
      </c>
      <c r="K44" s="1355">
        <f>SUM(K31+K36)+K40</f>
        <v>10127032</v>
      </c>
    </row>
    <row r="45" spans="1:11" ht="12.75" customHeight="1">
      <c r="A45" s="1892" t="s">
        <v>70</v>
      </c>
      <c r="B45" s="1893"/>
      <c r="C45" s="646" t="s">
        <v>273</v>
      </c>
      <c r="D45" s="1321"/>
      <c r="E45" s="1354">
        <f aca="true" t="shared" si="11" ref="E45:J45">SUM(E32)</f>
        <v>0</v>
      </c>
      <c r="F45" s="1354">
        <f t="shared" si="11"/>
        <v>1200000</v>
      </c>
      <c r="G45" s="1354">
        <f t="shared" si="11"/>
        <v>1200000</v>
      </c>
      <c r="H45" s="1355">
        <f t="shared" si="11"/>
        <v>1275000</v>
      </c>
      <c r="I45" s="1355">
        <f t="shared" si="11"/>
        <v>1275000</v>
      </c>
      <c r="J45" s="1355">
        <f t="shared" si="11"/>
        <v>1275000</v>
      </c>
      <c r="K45" s="1355">
        <f>SUM(K32)</f>
        <v>1285467</v>
      </c>
    </row>
    <row r="46" spans="1:11" s="1326" customFormat="1" ht="12.75" customHeight="1">
      <c r="A46" s="1883" t="s">
        <v>97</v>
      </c>
      <c r="B46" s="1884"/>
      <c r="C46" s="1323" t="s">
        <v>882</v>
      </c>
      <c r="D46" s="1323"/>
      <c r="E46" s="1365"/>
      <c r="F46" s="1365"/>
      <c r="G46" s="1365"/>
      <c r="H46" s="1366">
        <v>1275000</v>
      </c>
      <c r="I46" s="1366">
        <v>1275000</v>
      </c>
      <c r="J46" s="1366">
        <v>1275000</v>
      </c>
      <c r="K46" s="1366">
        <v>1285467</v>
      </c>
    </row>
    <row r="47" spans="1:11" s="872" customFormat="1" ht="12.75" customHeight="1" thickBot="1">
      <c r="A47" s="1885" t="s">
        <v>99</v>
      </c>
      <c r="B47" s="1886"/>
      <c r="C47" s="1350" t="s">
        <v>883</v>
      </c>
      <c r="D47" s="1350"/>
      <c r="E47" s="1367"/>
      <c r="F47" s="1367"/>
      <c r="G47" s="1367"/>
      <c r="H47" s="1368"/>
      <c r="I47" s="1368"/>
      <c r="J47" s="1368"/>
      <c r="K47" s="1368"/>
    </row>
  </sheetData>
  <sheetProtection selectLockedCells="1" selectUnlockedCells="1"/>
  <mergeCells count="51">
    <mergeCell ref="A46:B46"/>
    <mergeCell ref="A47:B47"/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2:B22"/>
    <mergeCell ref="C22:D22"/>
    <mergeCell ref="A23:B23"/>
    <mergeCell ref="A26:B26"/>
    <mergeCell ref="A27:B27"/>
    <mergeCell ref="A28:B28"/>
    <mergeCell ref="A18:B18"/>
    <mergeCell ref="A19:B19"/>
    <mergeCell ref="A20:B20"/>
    <mergeCell ref="C20:D20"/>
    <mergeCell ref="A21:B21"/>
    <mergeCell ref="C21:D21"/>
    <mergeCell ref="A16:B16"/>
    <mergeCell ref="A17:B17"/>
    <mergeCell ref="C17:D17"/>
    <mergeCell ref="A11:B11"/>
    <mergeCell ref="A12:B12"/>
    <mergeCell ref="A13:B13"/>
    <mergeCell ref="A14:B14"/>
    <mergeCell ref="A15:B15"/>
    <mergeCell ref="C14:D14"/>
    <mergeCell ref="C15:D15"/>
    <mergeCell ref="A9:B9"/>
    <mergeCell ref="C9:D9"/>
    <mergeCell ref="A10:B10"/>
    <mergeCell ref="A5:K5"/>
    <mergeCell ref="A2:K2"/>
    <mergeCell ref="A1:K1"/>
    <mergeCell ref="A8:B8"/>
    <mergeCell ref="C8:D8"/>
    <mergeCell ref="E7:J7"/>
    <mergeCell ref="C3:J3"/>
  </mergeCells>
  <printOptions horizontalCentered="1"/>
  <pageMargins left="0.7086614173228347" right="0.1968503937007874" top="0.5511811023622047" bottom="0.984251968503937" header="0.5118110236220472" footer="0.5118110236220472"/>
  <pageSetup horizontalDpi="600" verticalDpi="6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M90"/>
  <sheetViews>
    <sheetView view="pageBreakPreview" zoomScaleSheetLayoutView="100" zoomScalePageLayoutView="0" workbookViewId="0" topLeftCell="A1">
      <selection activeCell="C4" sqref="C4:J4"/>
    </sheetView>
  </sheetViews>
  <sheetFormatPr defaultColWidth="11.57421875" defaultRowHeight="12.75" customHeight="1"/>
  <cols>
    <col min="1" max="1" width="5.421875" style="0" customWidth="1"/>
    <col min="2" max="2" width="4.28125" style="0" customWidth="1"/>
    <col min="3" max="3" width="30.28125" style="0" customWidth="1"/>
    <col min="4" max="4" width="5.421875" style="0" customWidth="1"/>
    <col min="5" max="5" width="22.00390625" style="265" customWidth="1"/>
    <col min="6" max="11" width="19.28125" style="265" customWidth="1"/>
  </cols>
  <sheetData>
    <row r="1" spans="1:11" ht="18" customHeight="1">
      <c r="A1" s="1773" t="s">
        <v>550</v>
      </c>
      <c r="B1" s="1773"/>
      <c r="C1" s="1773"/>
      <c r="D1" s="1773"/>
      <c r="E1" s="1773"/>
      <c r="F1" s="1773"/>
      <c r="G1" s="1773"/>
      <c r="H1" s="1773"/>
      <c r="I1" s="1773"/>
      <c r="J1" s="1773"/>
      <c r="K1"/>
    </row>
    <row r="2" spans="1:11" ht="18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 customHeight="1">
      <c r="A3" s="1831" t="s">
        <v>1133</v>
      </c>
      <c r="B3" s="1831"/>
      <c r="C3" s="1831"/>
      <c r="D3" s="1831"/>
      <c r="E3" s="1831"/>
      <c r="F3" s="1831"/>
      <c r="G3" s="1831"/>
      <c r="H3" s="1831"/>
      <c r="I3" s="1831"/>
      <c r="J3" s="1831"/>
      <c r="K3" s="1831"/>
    </row>
    <row r="4" spans="1:11" ht="12.75" customHeight="1">
      <c r="A4" s="316"/>
      <c r="B4" s="316"/>
      <c r="C4" s="1854" t="s">
        <v>1154</v>
      </c>
      <c r="D4" s="1854"/>
      <c r="E4" s="1854"/>
      <c r="F4" s="1854"/>
      <c r="G4" s="1854"/>
      <c r="H4" s="1854"/>
      <c r="I4" s="1854"/>
      <c r="J4" s="1854"/>
      <c r="K4"/>
    </row>
    <row r="5" spans="1:11" ht="18.75" customHeight="1">
      <c r="A5" s="1818" t="s">
        <v>251</v>
      </c>
      <c r="B5" s="1818"/>
      <c r="C5" s="1818"/>
      <c r="D5" s="1818"/>
      <c r="E5" s="1818"/>
      <c r="F5" s="1818"/>
      <c r="G5" s="1818"/>
      <c r="H5" s="1818"/>
      <c r="I5" s="1818"/>
      <c r="J5" s="1818"/>
      <c r="K5" s="1818"/>
    </row>
    <row r="6" spans="3:4" ht="18.75" customHeight="1">
      <c r="C6" s="306"/>
      <c r="D6" s="306"/>
    </row>
    <row r="7" spans="5:11" ht="12.75" customHeight="1" thickBot="1">
      <c r="E7" s="1713" t="s">
        <v>219</v>
      </c>
      <c r="F7" s="1713"/>
      <c r="G7" s="1713"/>
      <c r="H7" s="1713"/>
      <c r="I7" s="1713"/>
      <c r="J7" s="1713"/>
      <c r="K7" s="1713"/>
    </row>
    <row r="8" spans="1:11" ht="54" customHeight="1" thickBot="1">
      <c r="A8" s="1662" t="s">
        <v>156</v>
      </c>
      <c r="B8" s="1663"/>
      <c r="C8" s="1828" t="s">
        <v>157</v>
      </c>
      <c r="D8" s="1828"/>
      <c r="E8" s="780" t="s">
        <v>158</v>
      </c>
      <c r="F8" s="570" t="s">
        <v>159</v>
      </c>
      <c r="G8" s="570" t="s">
        <v>793</v>
      </c>
      <c r="H8" s="570" t="s">
        <v>803</v>
      </c>
      <c r="I8" s="570" t="s">
        <v>885</v>
      </c>
      <c r="J8" s="570" t="s">
        <v>891</v>
      </c>
      <c r="K8" s="570" t="s">
        <v>947</v>
      </c>
    </row>
    <row r="9" spans="1:11" ht="12.75" customHeight="1">
      <c r="A9" s="1914" t="s">
        <v>161</v>
      </c>
      <c r="B9" s="1915"/>
      <c r="C9" s="1916" t="s">
        <v>162</v>
      </c>
      <c r="D9" s="1916"/>
      <c r="E9" s="1402" t="s">
        <v>163</v>
      </c>
      <c r="F9" s="915" t="s">
        <v>164</v>
      </c>
      <c r="G9" s="915" t="s">
        <v>505</v>
      </c>
      <c r="H9" s="915" t="s">
        <v>525</v>
      </c>
      <c r="I9" s="915" t="s">
        <v>804</v>
      </c>
      <c r="J9" s="915" t="s">
        <v>890</v>
      </c>
      <c r="K9" s="915" t="s">
        <v>895</v>
      </c>
    </row>
    <row r="10" spans="1:11" s="12" customFormat="1" ht="12.75" customHeight="1">
      <c r="A10" s="1410" t="s">
        <v>38</v>
      </c>
      <c r="B10" s="1410" t="s">
        <v>167</v>
      </c>
      <c r="C10" s="1910" t="s">
        <v>896</v>
      </c>
      <c r="D10" s="1911"/>
      <c r="E10" s="1407">
        <v>0</v>
      </c>
      <c r="F10" s="1407">
        <v>0</v>
      </c>
      <c r="G10" s="1407">
        <v>0</v>
      </c>
      <c r="H10" s="1407">
        <v>0</v>
      </c>
      <c r="I10" s="1407">
        <v>0</v>
      </c>
      <c r="J10" s="1407">
        <v>907459</v>
      </c>
      <c r="K10" s="1407">
        <v>907459</v>
      </c>
    </row>
    <row r="11" spans="1:11" s="148" customFormat="1" ht="12.75" customHeight="1">
      <c r="A11" s="1409" t="s">
        <v>40</v>
      </c>
      <c r="B11" s="1409"/>
      <c r="C11" s="1912" t="s">
        <v>897</v>
      </c>
      <c r="D11" s="1913"/>
      <c r="E11" s="1408"/>
      <c r="F11" s="1408"/>
      <c r="G11" s="1408"/>
      <c r="H11" s="1408"/>
      <c r="I11" s="1408"/>
      <c r="J11" s="1408">
        <v>907459</v>
      </c>
      <c r="K11" s="1408">
        <v>907459</v>
      </c>
    </row>
    <row r="12" spans="1:11" ht="12.75" customHeight="1">
      <c r="A12" s="1403" t="s">
        <v>47</v>
      </c>
      <c r="B12" s="1404" t="s">
        <v>169</v>
      </c>
      <c r="C12" s="320" t="s">
        <v>242</v>
      </c>
      <c r="D12" s="321"/>
      <c r="E12" s="1405">
        <f aca="true" t="shared" si="0" ref="E12:J12">SUM(E13:E18)</f>
        <v>19500000</v>
      </c>
      <c r="F12" s="1406">
        <f t="shared" si="0"/>
        <v>21270192</v>
      </c>
      <c r="G12" s="1406">
        <f t="shared" si="0"/>
        <v>21270192</v>
      </c>
      <c r="H12" s="1406">
        <f t="shared" si="0"/>
        <v>21270192</v>
      </c>
      <c r="I12" s="1406">
        <f t="shared" si="0"/>
        <v>21270192</v>
      </c>
      <c r="J12" s="1406">
        <f t="shared" si="0"/>
        <v>21270192</v>
      </c>
      <c r="K12" s="1406">
        <f>SUM(K13:K18)</f>
        <v>20650698</v>
      </c>
    </row>
    <row r="13" spans="1:11" s="148" customFormat="1" ht="12.75" customHeight="1">
      <c r="A13" s="781" t="s">
        <v>49</v>
      </c>
      <c r="B13" s="333"/>
      <c r="C13" s="1902" t="s">
        <v>721</v>
      </c>
      <c r="D13" s="1903"/>
      <c r="E13" s="763">
        <v>500000</v>
      </c>
      <c r="F13" s="782">
        <v>130192</v>
      </c>
      <c r="G13" s="782">
        <v>130192</v>
      </c>
      <c r="H13" s="782">
        <v>130092</v>
      </c>
      <c r="I13" s="782">
        <v>130092</v>
      </c>
      <c r="J13" s="782">
        <v>116892</v>
      </c>
      <c r="K13" s="782">
        <v>89708</v>
      </c>
    </row>
    <row r="14" spans="1:11" s="148" customFormat="1" ht="12.75" customHeight="1">
      <c r="A14" s="781" t="s">
        <v>51</v>
      </c>
      <c r="B14" s="333"/>
      <c r="C14" s="1902" t="s">
        <v>722</v>
      </c>
      <c r="D14" s="1903"/>
      <c r="E14" s="763">
        <v>100000</v>
      </c>
      <c r="F14" s="782">
        <v>140000</v>
      </c>
      <c r="G14" s="782">
        <v>140000</v>
      </c>
      <c r="H14" s="782">
        <v>140000</v>
      </c>
      <c r="I14" s="782">
        <v>140000</v>
      </c>
      <c r="J14" s="782">
        <v>139000</v>
      </c>
      <c r="K14" s="782">
        <v>83600</v>
      </c>
    </row>
    <row r="15" spans="1:11" s="148" customFormat="1" ht="12.75" customHeight="1">
      <c r="A15" s="781" t="s">
        <v>53</v>
      </c>
      <c r="B15" s="333"/>
      <c r="C15" s="1902" t="s">
        <v>723</v>
      </c>
      <c r="D15" s="1903"/>
      <c r="E15" s="763">
        <v>15000000</v>
      </c>
      <c r="F15" s="782">
        <v>16500000</v>
      </c>
      <c r="G15" s="782">
        <v>16500000</v>
      </c>
      <c r="H15" s="782">
        <v>16500000</v>
      </c>
      <c r="I15" s="782">
        <v>16500000</v>
      </c>
      <c r="J15" s="782">
        <v>16500000</v>
      </c>
      <c r="K15" s="782">
        <v>15670701</v>
      </c>
    </row>
    <row r="16" spans="1:11" s="148" customFormat="1" ht="12.75" customHeight="1">
      <c r="A16" s="781" t="s">
        <v>55</v>
      </c>
      <c r="B16" s="333"/>
      <c r="C16" s="1902" t="s">
        <v>724</v>
      </c>
      <c r="D16" s="1903"/>
      <c r="E16" s="763">
        <v>3900000</v>
      </c>
      <c r="F16" s="782">
        <v>4500000</v>
      </c>
      <c r="G16" s="782">
        <v>4500000</v>
      </c>
      <c r="H16" s="782">
        <v>4500000</v>
      </c>
      <c r="I16" s="782">
        <v>4500000</v>
      </c>
      <c r="J16" s="782">
        <v>4500000</v>
      </c>
      <c r="K16" s="782">
        <v>4277524</v>
      </c>
    </row>
    <row r="17" spans="1:11" s="148" customFormat="1" ht="12.75" customHeight="1">
      <c r="A17" s="783" t="s">
        <v>57</v>
      </c>
      <c r="B17" s="785"/>
      <c r="C17" s="1191" t="s">
        <v>805</v>
      </c>
      <c r="D17" s="1192"/>
      <c r="E17" s="764">
        <v>0</v>
      </c>
      <c r="F17" s="784">
        <v>0</v>
      </c>
      <c r="G17" s="784">
        <v>0</v>
      </c>
      <c r="H17" s="784">
        <v>100</v>
      </c>
      <c r="I17" s="784">
        <v>100</v>
      </c>
      <c r="J17" s="784">
        <v>13300</v>
      </c>
      <c r="K17" s="784">
        <v>529164</v>
      </c>
    </row>
    <row r="18" spans="1:11" s="148" customFormat="1" ht="12.75" customHeight="1" thickBot="1">
      <c r="A18" s="783" t="s">
        <v>86</v>
      </c>
      <c r="B18" s="785"/>
      <c r="C18" s="1904" t="s">
        <v>725</v>
      </c>
      <c r="D18" s="1905"/>
      <c r="E18" s="764"/>
      <c r="F18" s="784">
        <v>0</v>
      </c>
      <c r="G18" s="784">
        <v>0</v>
      </c>
      <c r="H18" s="784">
        <v>0</v>
      </c>
      <c r="I18" s="784">
        <v>0</v>
      </c>
      <c r="J18" s="784">
        <v>1000</v>
      </c>
      <c r="K18" s="784">
        <v>1</v>
      </c>
    </row>
    <row r="19" spans="1:11" s="777" customFormat="1" ht="20.25" customHeight="1" thickBot="1">
      <c r="A19" s="775" t="s">
        <v>59</v>
      </c>
      <c r="B19" s="776"/>
      <c r="C19" s="1906" t="s">
        <v>532</v>
      </c>
      <c r="D19" s="1907"/>
      <c r="E19" s="765">
        <f aca="true" t="shared" si="1" ref="E19:J19">SUM(E12)+E10</f>
        <v>19500000</v>
      </c>
      <c r="F19" s="765">
        <f t="shared" si="1"/>
        <v>21270192</v>
      </c>
      <c r="G19" s="765">
        <f t="shared" si="1"/>
        <v>21270192</v>
      </c>
      <c r="H19" s="765">
        <f t="shared" si="1"/>
        <v>21270192</v>
      </c>
      <c r="I19" s="765">
        <f t="shared" si="1"/>
        <v>21270192</v>
      </c>
      <c r="J19" s="765">
        <f t="shared" si="1"/>
        <v>22177651</v>
      </c>
      <c r="K19" s="765">
        <f>SUM(K12)+K10</f>
        <v>21558157</v>
      </c>
    </row>
    <row r="20" spans="1:11" s="334" customFormat="1" ht="12.75" customHeight="1">
      <c r="A20" s="928" t="s">
        <v>61</v>
      </c>
      <c r="B20" s="929" t="s">
        <v>169</v>
      </c>
      <c r="C20" s="1897" t="s">
        <v>552</v>
      </c>
      <c r="D20" s="1898"/>
      <c r="E20" s="1020">
        <v>3047000</v>
      </c>
      <c r="F20" s="1021">
        <v>3099073</v>
      </c>
      <c r="G20" s="1021">
        <v>3099073</v>
      </c>
      <c r="H20" s="1021">
        <v>3099073</v>
      </c>
      <c r="I20" s="1021">
        <v>3099073</v>
      </c>
      <c r="J20" s="1021">
        <v>3099073</v>
      </c>
      <c r="K20" s="1021">
        <v>3099073</v>
      </c>
    </row>
    <row r="21" spans="1:11" s="1" customFormat="1" ht="12.75" customHeight="1">
      <c r="A21" s="786" t="s">
        <v>63</v>
      </c>
      <c r="B21" s="333" t="s">
        <v>176</v>
      </c>
      <c r="C21" s="1908" t="s">
        <v>545</v>
      </c>
      <c r="D21" s="1909"/>
      <c r="E21" s="787">
        <f aca="true" t="shared" si="2" ref="E21:J21">SUM(E22:E23)</f>
        <v>85529000</v>
      </c>
      <c r="F21" s="925">
        <f t="shared" si="2"/>
        <v>69752735</v>
      </c>
      <c r="G21" s="925">
        <f t="shared" si="2"/>
        <v>65149142</v>
      </c>
      <c r="H21" s="925">
        <f t="shared" si="2"/>
        <v>65404798</v>
      </c>
      <c r="I21" s="925">
        <f t="shared" si="2"/>
        <v>65404798</v>
      </c>
      <c r="J21" s="925">
        <f t="shared" si="2"/>
        <v>65454330</v>
      </c>
      <c r="K21" s="925">
        <f>SUM(K22:K23)</f>
        <v>63523333</v>
      </c>
    </row>
    <row r="22" spans="1:11" ht="12.75" customHeight="1">
      <c r="A22" s="783" t="s">
        <v>65</v>
      </c>
      <c r="B22" s="335"/>
      <c r="C22" s="288" t="s">
        <v>534</v>
      </c>
      <c r="D22" s="336"/>
      <c r="E22" s="784">
        <v>32157000</v>
      </c>
      <c r="F22" s="926">
        <v>18496735</v>
      </c>
      <c r="G22" s="926">
        <v>18496735</v>
      </c>
      <c r="H22" s="926">
        <v>18752391</v>
      </c>
      <c r="I22" s="926">
        <v>18752391</v>
      </c>
      <c r="J22" s="926">
        <v>18801923</v>
      </c>
      <c r="K22" s="926">
        <f>SUM(7849296+11287613)+9857005</f>
        <v>28993914</v>
      </c>
    </row>
    <row r="23" spans="1:11" ht="12.75" customHeight="1" thickBot="1">
      <c r="A23" s="930" t="s">
        <v>92</v>
      </c>
      <c r="B23" s="931"/>
      <c r="C23" s="1900" t="s">
        <v>535</v>
      </c>
      <c r="D23" s="1900"/>
      <c r="E23" s="932">
        <v>53372000</v>
      </c>
      <c r="F23" s="927">
        <v>51256000</v>
      </c>
      <c r="G23" s="927">
        <v>46652407</v>
      </c>
      <c r="H23" s="927">
        <v>46652407</v>
      </c>
      <c r="I23" s="927">
        <v>46652407</v>
      </c>
      <c r="J23" s="927">
        <v>46652407</v>
      </c>
      <c r="K23" s="927">
        <v>34529419</v>
      </c>
    </row>
    <row r="24" spans="1:11" s="774" customFormat="1" ht="18.75" customHeight="1" thickBot="1">
      <c r="A24" s="778" t="s">
        <v>66</v>
      </c>
      <c r="B24" s="779"/>
      <c r="C24" s="1896" t="s">
        <v>546</v>
      </c>
      <c r="D24" s="1896"/>
      <c r="E24" s="766">
        <f aca="true" t="shared" si="3" ref="E24:J24">SUM(E20+E21)</f>
        <v>88576000</v>
      </c>
      <c r="F24" s="767">
        <f t="shared" si="3"/>
        <v>72851808</v>
      </c>
      <c r="G24" s="767">
        <f t="shared" si="3"/>
        <v>68248215</v>
      </c>
      <c r="H24" s="767">
        <f t="shared" si="3"/>
        <v>68503871</v>
      </c>
      <c r="I24" s="767">
        <f t="shared" si="3"/>
        <v>68503871</v>
      </c>
      <c r="J24" s="767">
        <f t="shared" si="3"/>
        <v>68553403</v>
      </c>
      <c r="K24" s="767">
        <f>SUM(K20+K21)</f>
        <v>66622406</v>
      </c>
    </row>
    <row r="25" spans="1:11" s="774" customFormat="1" ht="21" customHeight="1" thickBot="1">
      <c r="A25" s="770" t="s">
        <v>67</v>
      </c>
      <c r="B25" s="771"/>
      <c r="C25" s="772" t="s">
        <v>116</v>
      </c>
      <c r="D25" s="773"/>
      <c r="E25" s="768">
        <f aca="true" t="shared" si="4" ref="E25:J25">SUM(E19+E24)</f>
        <v>108076000</v>
      </c>
      <c r="F25" s="769">
        <f t="shared" si="4"/>
        <v>94122000</v>
      </c>
      <c r="G25" s="769">
        <f t="shared" si="4"/>
        <v>89518407</v>
      </c>
      <c r="H25" s="769">
        <f t="shared" si="4"/>
        <v>89774063</v>
      </c>
      <c r="I25" s="769">
        <f t="shared" si="4"/>
        <v>89774063</v>
      </c>
      <c r="J25" s="769">
        <f t="shared" si="4"/>
        <v>90731054</v>
      </c>
      <c r="K25" s="769">
        <f>SUM(K19+K24)</f>
        <v>88180563</v>
      </c>
    </row>
    <row r="26" ht="12.75" customHeight="1" thickBot="1"/>
    <row r="27" spans="1:11" ht="36.75" customHeight="1">
      <c r="A27" s="1707" t="s">
        <v>156</v>
      </c>
      <c r="B27" s="1899"/>
      <c r="C27" s="619" t="s">
        <v>558</v>
      </c>
      <c r="D27" s="619" t="s">
        <v>547</v>
      </c>
      <c r="E27" s="780" t="s">
        <v>158</v>
      </c>
      <c r="F27" s="570" t="s">
        <v>159</v>
      </c>
      <c r="G27" s="570" t="s">
        <v>793</v>
      </c>
      <c r="H27" s="570" t="s">
        <v>803</v>
      </c>
      <c r="I27" s="570" t="s">
        <v>885</v>
      </c>
      <c r="J27" s="570" t="s">
        <v>891</v>
      </c>
      <c r="K27" s="570" t="s">
        <v>947</v>
      </c>
    </row>
    <row r="28" spans="1:11" ht="12.75" customHeight="1" thickBot="1">
      <c r="A28" s="1894" t="s">
        <v>161</v>
      </c>
      <c r="B28" s="1895"/>
      <c r="C28" s="337" t="s">
        <v>162</v>
      </c>
      <c r="D28" s="337" t="s">
        <v>163</v>
      </c>
      <c r="E28" s="338" t="s">
        <v>164</v>
      </c>
      <c r="F28" s="915" t="s">
        <v>505</v>
      </c>
      <c r="G28" s="915" t="s">
        <v>505</v>
      </c>
      <c r="H28" s="915" t="s">
        <v>525</v>
      </c>
      <c r="I28" s="915" t="s">
        <v>804</v>
      </c>
      <c r="J28" s="915" t="s">
        <v>890</v>
      </c>
      <c r="K28" s="915" t="s">
        <v>895</v>
      </c>
    </row>
    <row r="29" spans="1:11" ht="34.5" customHeight="1">
      <c r="A29" s="789" t="s">
        <v>38</v>
      </c>
      <c r="B29" s="339" t="s">
        <v>167</v>
      </c>
      <c r="C29" s="340" t="s">
        <v>399</v>
      </c>
      <c r="D29" s="341">
        <v>5</v>
      </c>
      <c r="E29" s="903">
        <f aca="true" t="shared" si="5" ref="E29:J29">SUM(E30:E32)</f>
        <v>27847000</v>
      </c>
      <c r="F29" s="916">
        <f t="shared" si="5"/>
        <v>30161000</v>
      </c>
      <c r="G29" s="916">
        <f t="shared" si="5"/>
        <v>30161000</v>
      </c>
      <c r="H29" s="916">
        <f t="shared" si="5"/>
        <v>30161000</v>
      </c>
      <c r="I29" s="916">
        <f t="shared" si="5"/>
        <v>30161000</v>
      </c>
      <c r="J29" s="916">
        <f t="shared" si="5"/>
        <v>30161000</v>
      </c>
      <c r="K29" s="916">
        <f>SUM(K30:K32)</f>
        <v>30161000</v>
      </c>
    </row>
    <row r="30" spans="1:11" ht="12.75" customHeight="1">
      <c r="A30" s="790" t="s">
        <v>40</v>
      </c>
      <c r="B30" s="98"/>
      <c r="C30" s="147" t="s">
        <v>264</v>
      </c>
      <c r="D30" s="231"/>
      <c r="E30" s="904">
        <v>6659000</v>
      </c>
      <c r="F30" s="917">
        <v>9056000</v>
      </c>
      <c r="G30" s="917">
        <v>9056000</v>
      </c>
      <c r="H30" s="917">
        <v>9056000</v>
      </c>
      <c r="I30" s="917">
        <v>9056000</v>
      </c>
      <c r="J30" s="917">
        <v>9056000</v>
      </c>
      <c r="K30" s="917">
        <v>9056000</v>
      </c>
    </row>
    <row r="31" spans="1:13" ht="12.75" customHeight="1">
      <c r="A31" s="790" t="s">
        <v>47</v>
      </c>
      <c r="B31" s="98"/>
      <c r="C31" s="147" t="s">
        <v>265</v>
      </c>
      <c r="D31" s="231"/>
      <c r="E31" s="904">
        <v>1841000</v>
      </c>
      <c r="F31" s="917">
        <v>2105000</v>
      </c>
      <c r="G31" s="917">
        <v>2105000</v>
      </c>
      <c r="H31" s="917">
        <v>2105000</v>
      </c>
      <c r="I31" s="917">
        <v>2105000</v>
      </c>
      <c r="J31" s="917">
        <v>2105000</v>
      </c>
      <c r="K31" s="917">
        <v>2105000</v>
      </c>
      <c r="M31" s="342"/>
    </row>
    <row r="32" spans="1:11" ht="12.75" customHeight="1">
      <c r="A32" s="790" t="s">
        <v>49</v>
      </c>
      <c r="B32" s="98"/>
      <c r="C32" s="147" t="s">
        <v>266</v>
      </c>
      <c r="D32" s="231"/>
      <c r="E32" s="905">
        <v>19347000</v>
      </c>
      <c r="F32" s="917">
        <v>19000000</v>
      </c>
      <c r="G32" s="917">
        <v>19000000</v>
      </c>
      <c r="H32" s="917">
        <v>19000000</v>
      </c>
      <c r="I32" s="917">
        <v>19000000</v>
      </c>
      <c r="J32" s="917">
        <v>19000000</v>
      </c>
      <c r="K32" s="917">
        <v>19000000</v>
      </c>
    </row>
    <row r="33" spans="1:11" ht="12.75" customHeight="1">
      <c r="A33" s="790" t="s">
        <v>51</v>
      </c>
      <c r="B33" s="98"/>
      <c r="C33" s="147" t="s">
        <v>698</v>
      </c>
      <c r="D33" s="231"/>
      <c r="E33" s="904">
        <v>0</v>
      </c>
      <c r="F33" s="917">
        <v>0</v>
      </c>
      <c r="G33" s="917">
        <v>0</v>
      </c>
      <c r="H33" s="917">
        <v>0</v>
      </c>
      <c r="I33" s="917">
        <v>0</v>
      </c>
      <c r="J33" s="917">
        <v>0</v>
      </c>
      <c r="K33" s="917">
        <v>0</v>
      </c>
    </row>
    <row r="34" spans="1:11" s="12" customFormat="1" ht="27.75" customHeight="1">
      <c r="A34" s="790" t="s">
        <v>53</v>
      </c>
      <c r="B34" s="75" t="s">
        <v>169</v>
      </c>
      <c r="C34" s="228" t="s">
        <v>559</v>
      </c>
      <c r="D34" s="229">
        <v>1</v>
      </c>
      <c r="E34" s="906">
        <f aca="true" t="shared" si="6" ref="E34:J34">SUM(E35:E38)</f>
        <v>4479000</v>
      </c>
      <c r="F34" s="918">
        <f t="shared" si="6"/>
        <v>8390000</v>
      </c>
      <c r="G34" s="918">
        <f t="shared" si="6"/>
        <v>8390000</v>
      </c>
      <c r="H34" s="918">
        <f t="shared" si="6"/>
        <v>8390000</v>
      </c>
      <c r="I34" s="918">
        <f t="shared" si="6"/>
        <v>8390000</v>
      </c>
      <c r="J34" s="918">
        <f t="shared" si="6"/>
        <v>8390000</v>
      </c>
      <c r="K34" s="918">
        <f>SUM(K35:K38)</f>
        <v>8390000</v>
      </c>
    </row>
    <row r="35" spans="1:11" ht="12.75" customHeight="1">
      <c r="A35" s="790" t="s">
        <v>55</v>
      </c>
      <c r="B35" s="98"/>
      <c r="C35" s="147" t="s">
        <v>264</v>
      </c>
      <c r="D35" s="231"/>
      <c r="E35" s="904">
        <v>1942000</v>
      </c>
      <c r="F35" s="917">
        <v>2751000</v>
      </c>
      <c r="G35" s="917">
        <v>2751000</v>
      </c>
      <c r="H35" s="917">
        <v>2751000</v>
      </c>
      <c r="I35" s="917">
        <v>2751000</v>
      </c>
      <c r="J35" s="917">
        <v>2751000</v>
      </c>
      <c r="K35" s="917">
        <v>2751000</v>
      </c>
    </row>
    <row r="36" spans="1:11" ht="12.75" customHeight="1">
      <c r="A36" s="790" t="s">
        <v>57</v>
      </c>
      <c r="B36" s="98"/>
      <c r="C36" s="147" t="s">
        <v>265</v>
      </c>
      <c r="D36" s="231"/>
      <c r="E36" s="904">
        <v>537000</v>
      </c>
      <c r="F36" s="917">
        <v>639000</v>
      </c>
      <c r="G36" s="917">
        <v>639000</v>
      </c>
      <c r="H36" s="917">
        <v>639000</v>
      </c>
      <c r="I36" s="917">
        <v>639000</v>
      </c>
      <c r="J36" s="917">
        <v>639000</v>
      </c>
      <c r="K36" s="917">
        <v>639000</v>
      </c>
    </row>
    <row r="37" spans="1:11" ht="12.75" customHeight="1">
      <c r="A37" s="790" t="s">
        <v>86</v>
      </c>
      <c r="B37" s="98"/>
      <c r="C37" s="147" t="s">
        <v>266</v>
      </c>
      <c r="D37" s="231"/>
      <c r="E37" s="904">
        <v>2000000</v>
      </c>
      <c r="F37" s="917">
        <v>5000000</v>
      </c>
      <c r="G37" s="917">
        <v>5000000</v>
      </c>
      <c r="H37" s="917">
        <v>5000000</v>
      </c>
      <c r="I37" s="917">
        <v>5000000</v>
      </c>
      <c r="J37" s="917">
        <v>5000000</v>
      </c>
      <c r="K37" s="917">
        <v>5000000</v>
      </c>
    </row>
    <row r="38" spans="1:11" ht="12.75" customHeight="1">
      <c r="A38" s="790" t="s">
        <v>59</v>
      </c>
      <c r="B38" s="98"/>
      <c r="C38" s="147" t="s">
        <v>698</v>
      </c>
      <c r="D38" s="231"/>
      <c r="E38" s="904">
        <v>0</v>
      </c>
      <c r="F38" s="917"/>
      <c r="G38" s="917"/>
      <c r="H38" s="917"/>
      <c r="I38" s="917"/>
      <c r="J38" s="917"/>
      <c r="K38" s="917"/>
    </row>
    <row r="39" spans="1:11" s="12" customFormat="1" ht="28.5" customHeight="1">
      <c r="A39" s="790" t="s">
        <v>61</v>
      </c>
      <c r="B39" s="75" t="s">
        <v>176</v>
      </c>
      <c r="C39" s="228" t="s">
        <v>409</v>
      </c>
      <c r="D39" s="229">
        <v>0</v>
      </c>
      <c r="E39" s="906">
        <f>SUM(E40:E42)</f>
        <v>191000</v>
      </c>
      <c r="F39" s="918">
        <f aca="true" t="shared" si="7" ref="F39:K39">SUM(F40:F43)</f>
        <v>0</v>
      </c>
      <c r="G39" s="918">
        <f t="shared" si="7"/>
        <v>0</v>
      </c>
      <c r="H39" s="918">
        <f t="shared" si="7"/>
        <v>0</v>
      </c>
      <c r="I39" s="918">
        <f t="shared" si="7"/>
        <v>0</v>
      </c>
      <c r="J39" s="918">
        <f t="shared" si="7"/>
        <v>0</v>
      </c>
      <c r="K39" s="918">
        <f t="shared" si="7"/>
        <v>0</v>
      </c>
    </row>
    <row r="40" spans="1:11" ht="12.75" customHeight="1">
      <c r="A40" s="790" t="s">
        <v>63</v>
      </c>
      <c r="B40" s="98"/>
      <c r="C40" s="147" t="s">
        <v>264</v>
      </c>
      <c r="D40" s="231"/>
      <c r="E40" s="904">
        <v>30000</v>
      </c>
      <c r="F40" s="917">
        <v>0</v>
      </c>
      <c r="G40" s="917">
        <v>0</v>
      </c>
      <c r="H40" s="917">
        <v>0</v>
      </c>
      <c r="I40" s="917">
        <v>0</v>
      </c>
      <c r="J40" s="917">
        <v>0</v>
      </c>
      <c r="K40" s="917">
        <v>0</v>
      </c>
    </row>
    <row r="41" spans="1:11" ht="12.75" customHeight="1">
      <c r="A41" s="790" t="s">
        <v>65</v>
      </c>
      <c r="B41" s="98"/>
      <c r="C41" s="147" t="s">
        <v>265</v>
      </c>
      <c r="D41" s="231"/>
      <c r="E41" s="904">
        <v>8000</v>
      </c>
      <c r="F41" s="917">
        <v>0</v>
      </c>
      <c r="G41" s="917">
        <v>0</v>
      </c>
      <c r="H41" s="917">
        <v>0</v>
      </c>
      <c r="I41" s="917">
        <v>0</v>
      </c>
      <c r="J41" s="917">
        <v>0</v>
      </c>
      <c r="K41" s="917">
        <v>0</v>
      </c>
    </row>
    <row r="42" spans="1:11" ht="12.75" customHeight="1">
      <c r="A42" s="790" t="s">
        <v>92</v>
      </c>
      <c r="B42" s="98"/>
      <c r="C42" s="147" t="s">
        <v>266</v>
      </c>
      <c r="D42" s="231"/>
      <c r="E42" s="904">
        <v>153000</v>
      </c>
      <c r="F42" s="917">
        <v>0</v>
      </c>
      <c r="G42" s="917">
        <v>0</v>
      </c>
      <c r="H42" s="917">
        <v>0</v>
      </c>
      <c r="I42" s="917">
        <v>0</v>
      </c>
      <c r="J42" s="917">
        <v>0</v>
      </c>
      <c r="K42" s="917">
        <v>0</v>
      </c>
    </row>
    <row r="43" spans="1:11" ht="12.75" customHeight="1">
      <c r="A43" s="790" t="s">
        <v>66</v>
      </c>
      <c r="B43" s="98"/>
      <c r="C43" s="147" t="s">
        <v>698</v>
      </c>
      <c r="D43" s="231"/>
      <c r="E43" s="907"/>
      <c r="F43" s="917">
        <v>0</v>
      </c>
      <c r="G43" s="917">
        <v>0</v>
      </c>
      <c r="H43" s="917">
        <v>0</v>
      </c>
      <c r="I43" s="917">
        <v>0</v>
      </c>
      <c r="J43" s="917">
        <v>0</v>
      </c>
      <c r="K43" s="917">
        <v>0</v>
      </c>
    </row>
    <row r="44" spans="1:11" ht="12.75" customHeight="1">
      <c r="A44" s="790" t="s">
        <v>67</v>
      </c>
      <c r="B44" s="75" t="s">
        <v>186</v>
      </c>
      <c r="C44" s="228" t="s">
        <v>560</v>
      </c>
      <c r="D44" s="229">
        <v>0</v>
      </c>
      <c r="E44" s="906">
        <f aca="true" t="shared" si="8" ref="E44:J44">SUM(E47:E48)</f>
        <v>1400000</v>
      </c>
      <c r="F44" s="918">
        <f t="shared" si="8"/>
        <v>500000</v>
      </c>
      <c r="G44" s="918">
        <f t="shared" si="8"/>
        <v>500000</v>
      </c>
      <c r="H44" s="918">
        <f t="shared" si="8"/>
        <v>500000</v>
      </c>
      <c r="I44" s="918">
        <f t="shared" si="8"/>
        <v>500000</v>
      </c>
      <c r="J44" s="918">
        <f t="shared" si="8"/>
        <v>500000</v>
      </c>
      <c r="K44" s="918">
        <f>SUM(K47:K48)</f>
        <v>500000</v>
      </c>
    </row>
    <row r="45" spans="1:11" ht="12.75" customHeight="1">
      <c r="A45" s="790" t="s">
        <v>68</v>
      </c>
      <c r="B45" s="75"/>
      <c r="C45" s="147" t="s">
        <v>494</v>
      </c>
      <c r="D45" s="229"/>
      <c r="E45" s="904">
        <v>0</v>
      </c>
      <c r="F45" s="917">
        <v>0</v>
      </c>
      <c r="G45" s="917">
        <v>0</v>
      </c>
      <c r="H45" s="917">
        <v>0</v>
      </c>
      <c r="I45" s="917">
        <v>0</v>
      </c>
      <c r="J45" s="917">
        <v>0</v>
      </c>
      <c r="K45" s="917">
        <v>0</v>
      </c>
    </row>
    <row r="46" spans="1:11" ht="12.75" customHeight="1">
      <c r="A46" s="790" t="s">
        <v>70</v>
      </c>
      <c r="B46" s="98"/>
      <c r="C46" s="147" t="s">
        <v>265</v>
      </c>
      <c r="D46" s="231"/>
      <c r="E46" s="904">
        <v>0</v>
      </c>
      <c r="F46" s="917">
        <v>0</v>
      </c>
      <c r="G46" s="917">
        <v>0</v>
      </c>
      <c r="H46" s="917">
        <v>0</v>
      </c>
      <c r="I46" s="917">
        <v>0</v>
      </c>
      <c r="J46" s="917">
        <v>0</v>
      </c>
      <c r="K46" s="917">
        <v>0</v>
      </c>
    </row>
    <row r="47" spans="1:11" ht="12.75" customHeight="1">
      <c r="A47" s="790" t="s">
        <v>97</v>
      </c>
      <c r="B47" s="98"/>
      <c r="C47" s="147" t="s">
        <v>266</v>
      </c>
      <c r="D47" s="231"/>
      <c r="E47" s="904">
        <v>1400000</v>
      </c>
      <c r="F47" s="917">
        <v>500000</v>
      </c>
      <c r="G47" s="917">
        <v>500000</v>
      </c>
      <c r="H47" s="917">
        <v>500000</v>
      </c>
      <c r="I47" s="917">
        <v>500000</v>
      </c>
      <c r="J47" s="917">
        <v>500000</v>
      </c>
      <c r="K47" s="917">
        <v>500000</v>
      </c>
    </row>
    <row r="48" spans="1:11" ht="12.75" customHeight="1">
      <c r="A48" s="790" t="s">
        <v>99</v>
      </c>
      <c r="B48" s="98"/>
      <c r="C48" s="147" t="s">
        <v>698</v>
      </c>
      <c r="D48" s="231"/>
      <c r="E48" s="907"/>
      <c r="F48" s="917">
        <v>0</v>
      </c>
      <c r="G48" s="917">
        <v>0</v>
      </c>
      <c r="H48" s="917">
        <v>0</v>
      </c>
      <c r="I48" s="917">
        <v>0</v>
      </c>
      <c r="J48" s="917">
        <v>0</v>
      </c>
      <c r="K48" s="917">
        <v>0</v>
      </c>
    </row>
    <row r="49" spans="1:11" ht="12.75" customHeight="1">
      <c r="A49" s="790" t="s">
        <v>101</v>
      </c>
      <c r="B49" s="75" t="s">
        <v>187</v>
      </c>
      <c r="C49" s="228" t="s">
        <v>561</v>
      </c>
      <c r="D49" s="229">
        <v>0</v>
      </c>
      <c r="E49" s="906">
        <f aca="true" t="shared" si="9" ref="E49:J49">SUM(E50:E53)</f>
        <v>430000</v>
      </c>
      <c r="F49" s="918">
        <f t="shared" si="9"/>
        <v>430000</v>
      </c>
      <c r="G49" s="918">
        <f t="shared" si="9"/>
        <v>430000</v>
      </c>
      <c r="H49" s="918">
        <f t="shared" si="9"/>
        <v>430000</v>
      </c>
      <c r="I49" s="918">
        <f t="shared" si="9"/>
        <v>430000</v>
      </c>
      <c r="J49" s="918">
        <f t="shared" si="9"/>
        <v>430000</v>
      </c>
      <c r="K49" s="918">
        <f>SUM(K50:K53)</f>
        <v>430000</v>
      </c>
    </row>
    <row r="50" spans="1:11" ht="12.75" customHeight="1">
      <c r="A50" s="790" t="s">
        <v>103</v>
      </c>
      <c r="B50" s="75"/>
      <c r="C50" s="147" t="s">
        <v>720</v>
      </c>
      <c r="D50" s="229"/>
      <c r="E50" s="904">
        <v>0</v>
      </c>
      <c r="F50" s="917">
        <v>0</v>
      </c>
      <c r="G50" s="917">
        <v>0</v>
      </c>
      <c r="H50" s="917">
        <v>0</v>
      </c>
      <c r="I50" s="917">
        <v>0</v>
      </c>
      <c r="J50" s="917">
        <v>0</v>
      </c>
      <c r="K50" s="917">
        <v>0</v>
      </c>
    </row>
    <row r="51" spans="1:11" ht="12.75" customHeight="1">
      <c r="A51" s="790" t="s">
        <v>105</v>
      </c>
      <c r="B51" s="98"/>
      <c r="C51" s="147" t="s">
        <v>265</v>
      </c>
      <c r="D51" s="343"/>
      <c r="E51" s="904">
        <v>0</v>
      </c>
      <c r="F51" s="917">
        <v>0</v>
      </c>
      <c r="G51" s="917">
        <v>0</v>
      </c>
      <c r="H51" s="917">
        <v>0</v>
      </c>
      <c r="I51" s="917">
        <v>0</v>
      </c>
      <c r="J51" s="917">
        <v>0</v>
      </c>
      <c r="K51" s="917">
        <v>0</v>
      </c>
    </row>
    <row r="52" spans="1:11" ht="12.75" customHeight="1">
      <c r="A52" s="790" t="s">
        <v>107</v>
      </c>
      <c r="B52" s="98"/>
      <c r="C52" s="147" t="s">
        <v>266</v>
      </c>
      <c r="D52" s="343"/>
      <c r="E52" s="904">
        <v>430000</v>
      </c>
      <c r="F52" s="917">
        <v>430000</v>
      </c>
      <c r="G52" s="917">
        <v>430000</v>
      </c>
      <c r="H52" s="917">
        <v>430000</v>
      </c>
      <c r="I52" s="917">
        <v>430000</v>
      </c>
      <c r="J52" s="917">
        <v>430000</v>
      </c>
      <c r="K52" s="917">
        <v>430000</v>
      </c>
    </row>
    <row r="53" spans="1:11" ht="12.75" customHeight="1">
      <c r="A53" s="790" t="s">
        <v>109</v>
      </c>
      <c r="B53" s="98"/>
      <c r="C53" s="147" t="s">
        <v>698</v>
      </c>
      <c r="D53" s="343"/>
      <c r="E53" s="907">
        <v>0</v>
      </c>
      <c r="F53" s="917">
        <v>0</v>
      </c>
      <c r="G53" s="917">
        <v>0</v>
      </c>
      <c r="H53" s="917">
        <v>0</v>
      </c>
      <c r="I53" s="917">
        <v>0</v>
      </c>
      <c r="J53" s="917">
        <v>0</v>
      </c>
      <c r="K53" s="917">
        <v>0</v>
      </c>
    </row>
    <row r="54" spans="1:11" ht="12.75" customHeight="1">
      <c r="A54" s="790" t="s">
        <v>111</v>
      </c>
      <c r="B54" s="75" t="s">
        <v>188</v>
      </c>
      <c r="C54" s="228" t="s">
        <v>562</v>
      </c>
      <c r="D54" s="344">
        <v>12</v>
      </c>
      <c r="E54" s="906">
        <f aca="true" t="shared" si="10" ref="E54:J54">SUM(E55:E58)</f>
        <v>34303000</v>
      </c>
      <c r="F54" s="918">
        <f t="shared" si="10"/>
        <v>29002000</v>
      </c>
      <c r="G54" s="918">
        <f t="shared" si="10"/>
        <v>34136000</v>
      </c>
      <c r="H54" s="918">
        <f t="shared" si="10"/>
        <v>34391656</v>
      </c>
      <c r="I54" s="918">
        <f t="shared" si="10"/>
        <v>34391656</v>
      </c>
      <c r="J54" s="918">
        <f t="shared" si="10"/>
        <v>34441188</v>
      </c>
      <c r="K54" s="918">
        <f>SUM(K55:K58)</f>
        <v>31890697</v>
      </c>
    </row>
    <row r="55" spans="1:11" ht="12.75" customHeight="1">
      <c r="A55" s="790" t="s">
        <v>113</v>
      </c>
      <c r="B55" s="98"/>
      <c r="C55" s="147" t="s">
        <v>264</v>
      </c>
      <c r="D55" s="343"/>
      <c r="E55" s="904">
        <v>21573000</v>
      </c>
      <c r="F55" s="917">
        <v>16938000</v>
      </c>
      <c r="G55" s="917">
        <f>SUM(16938000+4188000)</f>
        <v>21126000</v>
      </c>
      <c r="H55" s="917">
        <v>21340020</v>
      </c>
      <c r="I55" s="917">
        <v>21340020</v>
      </c>
      <c r="J55" s="917">
        <v>21380620</v>
      </c>
      <c r="K55" s="917">
        <v>21314162</v>
      </c>
    </row>
    <row r="56" spans="1:11" ht="12.75" customHeight="1">
      <c r="A56" s="790" t="s">
        <v>115</v>
      </c>
      <c r="B56" s="98"/>
      <c r="C56" s="147" t="s">
        <v>265</v>
      </c>
      <c r="D56" s="343"/>
      <c r="E56" s="904">
        <v>6025000</v>
      </c>
      <c r="F56" s="917">
        <v>3902000</v>
      </c>
      <c r="G56" s="917">
        <f>SUM(3902000+946000)</f>
        <v>4848000</v>
      </c>
      <c r="H56" s="917">
        <v>4889636</v>
      </c>
      <c r="I56" s="917">
        <v>4889636</v>
      </c>
      <c r="J56" s="917">
        <v>4898568</v>
      </c>
      <c r="K56" s="917">
        <v>5114898</v>
      </c>
    </row>
    <row r="57" spans="1:11" ht="12.75" customHeight="1">
      <c r="A57" s="790" t="s">
        <v>117</v>
      </c>
      <c r="B57" s="98"/>
      <c r="C57" s="147" t="s">
        <v>266</v>
      </c>
      <c r="D57" s="343"/>
      <c r="E57" s="904">
        <v>6455000</v>
      </c>
      <c r="F57" s="917">
        <v>7812000</v>
      </c>
      <c r="G57" s="917">
        <v>7812000</v>
      </c>
      <c r="H57" s="917">
        <v>7662000</v>
      </c>
      <c r="I57" s="917">
        <v>7662000</v>
      </c>
      <c r="J57" s="917">
        <v>7662000</v>
      </c>
      <c r="K57" s="917">
        <v>4691094</v>
      </c>
    </row>
    <row r="58" spans="1:11" ht="12.75" customHeight="1">
      <c r="A58" s="790" t="s">
        <v>118</v>
      </c>
      <c r="B58" s="98"/>
      <c r="C58" s="147" t="s">
        <v>263</v>
      </c>
      <c r="D58" s="343"/>
      <c r="E58" s="904">
        <v>250000</v>
      </c>
      <c r="F58" s="917">
        <f>SUM('6. 7.8. M  '!D25)</f>
        <v>350000</v>
      </c>
      <c r="G58" s="917">
        <f>SUM('6. 7.8. M  '!E25)</f>
        <v>350000</v>
      </c>
      <c r="H58" s="917">
        <v>500000</v>
      </c>
      <c r="I58" s="917">
        <v>500000</v>
      </c>
      <c r="J58" s="917">
        <v>500000</v>
      </c>
      <c r="K58" s="917">
        <v>770543</v>
      </c>
    </row>
    <row r="59" spans="1:11" ht="12.75" customHeight="1">
      <c r="A59" s="790" t="s">
        <v>120</v>
      </c>
      <c r="B59" s="347" t="s">
        <v>190</v>
      </c>
      <c r="C59" s="348" t="s">
        <v>427</v>
      </c>
      <c r="D59" s="349">
        <v>0</v>
      </c>
      <c r="E59" s="908">
        <f aca="true" t="shared" si="11" ref="E59:J59">SUM(E60:E62)</f>
        <v>400000</v>
      </c>
      <c r="F59" s="918">
        <f t="shared" si="11"/>
        <v>640000</v>
      </c>
      <c r="G59" s="918">
        <f t="shared" si="11"/>
        <v>640000</v>
      </c>
      <c r="H59" s="918">
        <f t="shared" si="11"/>
        <v>640000</v>
      </c>
      <c r="I59" s="918">
        <f t="shared" si="11"/>
        <v>640000</v>
      </c>
      <c r="J59" s="918">
        <f t="shared" si="11"/>
        <v>640000</v>
      </c>
      <c r="K59" s="918">
        <f>SUM(K60:K62)</f>
        <v>640000</v>
      </c>
    </row>
    <row r="60" spans="1:11" ht="12.75" customHeight="1">
      <c r="A60" s="790" t="s">
        <v>122</v>
      </c>
      <c r="B60" s="251"/>
      <c r="C60" s="254" t="s">
        <v>264</v>
      </c>
      <c r="D60" s="350"/>
      <c r="E60" s="905">
        <v>0</v>
      </c>
      <c r="F60" s="917">
        <v>0</v>
      </c>
      <c r="G60" s="917">
        <v>0</v>
      </c>
      <c r="H60" s="917">
        <v>0</v>
      </c>
      <c r="I60" s="917">
        <v>0</v>
      </c>
      <c r="J60" s="917">
        <v>0</v>
      </c>
      <c r="K60" s="917">
        <v>0</v>
      </c>
    </row>
    <row r="61" spans="1:11" ht="12.75" customHeight="1">
      <c r="A61" s="790" t="s">
        <v>124</v>
      </c>
      <c r="B61" s="251"/>
      <c r="C61" s="254" t="s">
        <v>265</v>
      </c>
      <c r="D61" s="350"/>
      <c r="E61" s="905">
        <v>0</v>
      </c>
      <c r="F61" s="917">
        <v>0</v>
      </c>
      <c r="G61" s="917">
        <v>0</v>
      </c>
      <c r="H61" s="917">
        <v>0</v>
      </c>
      <c r="I61" s="917">
        <v>0</v>
      </c>
      <c r="J61" s="917">
        <v>0</v>
      </c>
      <c r="K61" s="917">
        <v>0</v>
      </c>
    </row>
    <row r="62" spans="1:11" ht="12.75" customHeight="1">
      <c r="A62" s="790" t="s">
        <v>126</v>
      </c>
      <c r="B62" s="251"/>
      <c r="C62" s="254" t="s">
        <v>266</v>
      </c>
      <c r="D62" s="350"/>
      <c r="E62" s="905">
        <v>400000</v>
      </c>
      <c r="F62" s="917">
        <v>640000</v>
      </c>
      <c r="G62" s="917">
        <v>640000</v>
      </c>
      <c r="H62" s="917">
        <v>640000</v>
      </c>
      <c r="I62" s="917">
        <v>640000</v>
      </c>
      <c r="J62" s="917">
        <v>640000</v>
      </c>
      <c r="K62" s="917">
        <v>640000</v>
      </c>
    </row>
    <row r="63" spans="1:11" ht="12.75" customHeight="1">
      <c r="A63" s="790" t="s">
        <v>128</v>
      </c>
      <c r="B63" s="351" t="s">
        <v>193</v>
      </c>
      <c r="C63" s="10" t="s">
        <v>719</v>
      </c>
      <c r="D63" s="229">
        <v>1</v>
      </c>
      <c r="E63" s="909">
        <f>SUM(E64:E66)</f>
        <v>0</v>
      </c>
      <c r="F63" s="918">
        <f aca="true" t="shared" si="12" ref="F63:K63">SUM(F64:F67)</f>
        <v>9134000</v>
      </c>
      <c r="G63" s="918">
        <f t="shared" si="12"/>
        <v>4600000</v>
      </c>
      <c r="H63" s="918">
        <f t="shared" si="12"/>
        <v>4600000</v>
      </c>
      <c r="I63" s="918">
        <f t="shared" si="12"/>
        <v>4600000</v>
      </c>
      <c r="J63" s="918">
        <f t="shared" si="12"/>
        <v>5507459</v>
      </c>
      <c r="K63" s="918">
        <f t="shared" si="12"/>
        <v>5507459</v>
      </c>
    </row>
    <row r="64" spans="1:11" ht="12.75" customHeight="1">
      <c r="A64" s="790" t="s">
        <v>130</v>
      </c>
      <c r="B64" s="98"/>
      <c r="C64" s="147" t="s">
        <v>264</v>
      </c>
      <c r="D64" s="231"/>
      <c r="E64" s="907"/>
      <c r="F64" s="917">
        <v>4188000</v>
      </c>
      <c r="G64" s="917"/>
      <c r="H64" s="917"/>
      <c r="I64" s="917"/>
      <c r="J64" s="917">
        <v>707818</v>
      </c>
      <c r="K64" s="917">
        <v>707818</v>
      </c>
    </row>
    <row r="65" spans="1:11" ht="12.75" customHeight="1">
      <c r="A65" s="790" t="s">
        <v>131</v>
      </c>
      <c r="B65" s="98"/>
      <c r="C65" s="147" t="s">
        <v>265</v>
      </c>
      <c r="D65" s="231"/>
      <c r="E65" s="907"/>
      <c r="F65" s="917">
        <v>946000</v>
      </c>
      <c r="G65" s="917"/>
      <c r="H65" s="917"/>
      <c r="I65" s="917"/>
      <c r="J65" s="917">
        <v>199641</v>
      </c>
      <c r="K65" s="917">
        <v>199641</v>
      </c>
    </row>
    <row r="66" spans="1:11" ht="12.75" customHeight="1">
      <c r="A66" s="790" t="s">
        <v>133</v>
      </c>
      <c r="B66" s="98"/>
      <c r="C66" s="147" t="s">
        <v>266</v>
      </c>
      <c r="D66" s="231"/>
      <c r="E66" s="910"/>
      <c r="F66" s="917">
        <v>4000000</v>
      </c>
      <c r="G66" s="917">
        <v>4600000</v>
      </c>
      <c r="H66" s="917">
        <v>4600000</v>
      </c>
      <c r="I66" s="917">
        <v>4600000</v>
      </c>
      <c r="J66" s="917">
        <v>4600000</v>
      </c>
      <c r="K66" s="917">
        <v>4600000</v>
      </c>
    </row>
    <row r="67" spans="1:11" ht="12.75" customHeight="1">
      <c r="A67" s="790" t="s">
        <v>135</v>
      </c>
      <c r="B67" s="98"/>
      <c r="C67" s="147" t="s">
        <v>698</v>
      </c>
      <c r="D67" s="231"/>
      <c r="E67" s="907"/>
      <c r="F67" s="919"/>
      <c r="G67" s="919"/>
      <c r="H67" s="919"/>
      <c r="I67" s="919"/>
      <c r="J67" s="919"/>
      <c r="K67" s="919"/>
    </row>
    <row r="68" spans="1:11" ht="12.75" customHeight="1">
      <c r="A68" s="790" t="s">
        <v>137</v>
      </c>
      <c r="B68" s="75" t="s">
        <v>195</v>
      </c>
      <c r="C68" s="13" t="s">
        <v>435</v>
      </c>
      <c r="D68" s="345">
        <v>0</v>
      </c>
      <c r="E68" s="906">
        <f aca="true" t="shared" si="13" ref="E68:K68">SUM(E69:E69)</f>
        <v>720000</v>
      </c>
      <c r="F68" s="920">
        <f t="shared" si="13"/>
        <v>720000</v>
      </c>
      <c r="G68" s="920">
        <f t="shared" si="13"/>
        <v>720000</v>
      </c>
      <c r="H68" s="920">
        <f t="shared" si="13"/>
        <v>720000</v>
      </c>
      <c r="I68" s="920">
        <f t="shared" si="13"/>
        <v>720000</v>
      </c>
      <c r="J68" s="920">
        <f t="shared" si="13"/>
        <v>720000</v>
      </c>
      <c r="K68" s="920">
        <f t="shared" si="13"/>
        <v>720000</v>
      </c>
    </row>
    <row r="69" spans="1:11" ht="12.75" customHeight="1">
      <c r="A69" s="790" t="s">
        <v>139</v>
      </c>
      <c r="B69" s="98"/>
      <c r="C69" s="20" t="s">
        <v>563</v>
      </c>
      <c r="D69" s="346"/>
      <c r="E69" s="904">
        <v>720000</v>
      </c>
      <c r="F69" s="919">
        <v>720000</v>
      </c>
      <c r="G69" s="919">
        <v>720000</v>
      </c>
      <c r="H69" s="919">
        <v>720000</v>
      </c>
      <c r="I69" s="919">
        <v>720000</v>
      </c>
      <c r="J69" s="919">
        <v>720000</v>
      </c>
      <c r="K69" s="919">
        <v>720000</v>
      </c>
    </row>
    <row r="70" spans="1:11" ht="25.5" customHeight="1">
      <c r="A70" s="790" t="s">
        <v>141</v>
      </c>
      <c r="B70" s="75" t="s">
        <v>199</v>
      </c>
      <c r="C70" s="106" t="s">
        <v>295</v>
      </c>
      <c r="D70" s="346">
        <v>12</v>
      </c>
      <c r="E70" s="906">
        <f>SUM(E71:E74)</f>
        <v>16288000</v>
      </c>
      <c r="F70" s="920">
        <f aca="true" t="shared" si="14" ref="F70:K70">SUM(F71:F73)</f>
        <v>15145000</v>
      </c>
      <c r="G70" s="920">
        <f t="shared" si="14"/>
        <v>9941407</v>
      </c>
      <c r="H70" s="920">
        <f t="shared" si="14"/>
        <v>9941407</v>
      </c>
      <c r="I70" s="920">
        <f t="shared" si="14"/>
        <v>9941407</v>
      </c>
      <c r="J70" s="920">
        <f t="shared" si="14"/>
        <v>9941407</v>
      </c>
      <c r="K70" s="920">
        <f t="shared" si="14"/>
        <v>9941407</v>
      </c>
    </row>
    <row r="71" spans="1:11" ht="12.75" customHeight="1">
      <c r="A71" s="790" t="s">
        <v>143</v>
      </c>
      <c r="B71" s="98"/>
      <c r="C71" s="147" t="s">
        <v>264</v>
      </c>
      <c r="D71" s="346"/>
      <c r="E71" s="904">
        <v>12324000</v>
      </c>
      <c r="F71" s="919">
        <v>13104000</v>
      </c>
      <c r="G71" s="919">
        <f>SUM(13104000-4147404)</f>
        <v>8956596</v>
      </c>
      <c r="H71" s="919">
        <f>SUM(13104000-4147404)</f>
        <v>8956596</v>
      </c>
      <c r="I71" s="919">
        <f>SUM(13104000-4147404)</f>
        <v>8956596</v>
      </c>
      <c r="J71" s="919">
        <f>SUM(13104000-4147404)</f>
        <v>8956596</v>
      </c>
      <c r="K71" s="919">
        <f>SUM(13104000-4147404)</f>
        <v>8956596</v>
      </c>
    </row>
    <row r="72" spans="1:11" ht="12.75" customHeight="1">
      <c r="A72" s="791" t="s">
        <v>145</v>
      </c>
      <c r="B72" s="468"/>
      <c r="C72" s="204" t="s">
        <v>265</v>
      </c>
      <c r="D72" s="788"/>
      <c r="E72" s="911">
        <v>1664000</v>
      </c>
      <c r="F72" s="921">
        <v>1441000</v>
      </c>
      <c r="G72" s="921">
        <f>SUM(1441000-456189)</f>
        <v>984811</v>
      </c>
      <c r="H72" s="921">
        <f>SUM(1441000-456189)</f>
        <v>984811</v>
      </c>
      <c r="I72" s="921">
        <f>SUM(1441000-456189)</f>
        <v>984811</v>
      </c>
      <c r="J72" s="921">
        <f>SUM(1441000-456189)</f>
        <v>984811</v>
      </c>
      <c r="K72" s="921">
        <f>SUM(1441000-456189)</f>
        <v>984811</v>
      </c>
    </row>
    <row r="73" spans="1:11" ht="12.75" customHeight="1">
      <c r="A73" s="488" t="s">
        <v>147</v>
      </c>
      <c r="B73" s="638"/>
      <c r="C73" s="526" t="s">
        <v>266</v>
      </c>
      <c r="D73" s="898"/>
      <c r="E73" s="912">
        <v>300000</v>
      </c>
      <c r="F73" s="922">
        <v>600000</v>
      </c>
      <c r="G73" s="922">
        <v>0</v>
      </c>
      <c r="H73" s="922">
        <v>0</v>
      </c>
      <c r="I73" s="922">
        <v>0</v>
      </c>
      <c r="J73" s="922">
        <v>0</v>
      </c>
      <c r="K73" s="922">
        <v>0</v>
      </c>
    </row>
    <row r="74" spans="1:11" ht="12.75" customHeight="1">
      <c r="A74" s="748" t="s">
        <v>149</v>
      </c>
      <c r="B74" s="899"/>
      <c r="C74" s="204" t="s">
        <v>698</v>
      </c>
      <c r="D74" s="900"/>
      <c r="E74" s="913">
        <v>2000000</v>
      </c>
      <c r="F74" s="923">
        <v>0</v>
      </c>
      <c r="G74" s="923">
        <v>0</v>
      </c>
      <c r="H74" s="923">
        <v>0</v>
      </c>
      <c r="I74" s="923">
        <v>0</v>
      </c>
      <c r="J74" s="923">
        <v>0</v>
      </c>
      <c r="K74" s="923">
        <v>0</v>
      </c>
    </row>
    <row r="75" spans="1:11" s="12" customFormat="1" ht="12.75" customHeight="1">
      <c r="A75" s="723" t="s">
        <v>151</v>
      </c>
      <c r="B75" s="639"/>
      <c r="C75" s="901" t="s">
        <v>767</v>
      </c>
      <c r="D75" s="902"/>
      <c r="E75" s="914">
        <f aca="true" t="shared" si="15" ref="E75:J75">SUM(E76:E78)</f>
        <v>6349000</v>
      </c>
      <c r="F75" s="924">
        <f t="shared" si="15"/>
        <v>0</v>
      </c>
      <c r="G75" s="924">
        <f t="shared" si="15"/>
        <v>0</v>
      </c>
      <c r="H75" s="924">
        <f t="shared" si="15"/>
        <v>0</v>
      </c>
      <c r="I75" s="924">
        <f t="shared" si="15"/>
        <v>0</v>
      </c>
      <c r="J75" s="924">
        <f t="shared" si="15"/>
        <v>0</v>
      </c>
      <c r="K75" s="924">
        <f>SUM(K76:K78)</f>
        <v>0</v>
      </c>
    </row>
    <row r="76" spans="1:11" ht="12.75" customHeight="1">
      <c r="A76" s="488" t="s">
        <v>209</v>
      </c>
      <c r="B76" s="638"/>
      <c r="C76" s="646" t="s">
        <v>264</v>
      </c>
      <c r="D76" s="898"/>
      <c r="E76" s="912">
        <v>1841000</v>
      </c>
      <c r="F76" s="922">
        <v>0</v>
      </c>
      <c r="G76" s="922">
        <v>0</v>
      </c>
      <c r="H76" s="922">
        <v>0</v>
      </c>
      <c r="I76" s="922">
        <v>0</v>
      </c>
      <c r="J76" s="922">
        <v>0</v>
      </c>
      <c r="K76" s="922">
        <v>0</v>
      </c>
    </row>
    <row r="77" spans="1:11" ht="12.75" customHeight="1">
      <c r="A77" s="488" t="s">
        <v>211</v>
      </c>
      <c r="B77" s="638"/>
      <c r="C77" s="646" t="s">
        <v>265</v>
      </c>
      <c r="D77" s="898"/>
      <c r="E77" s="912">
        <v>508000</v>
      </c>
      <c r="F77" s="922">
        <v>0</v>
      </c>
      <c r="G77" s="922">
        <v>0</v>
      </c>
      <c r="H77" s="922">
        <v>0</v>
      </c>
      <c r="I77" s="922">
        <v>0</v>
      </c>
      <c r="J77" s="922">
        <v>0</v>
      </c>
      <c r="K77" s="922">
        <v>0</v>
      </c>
    </row>
    <row r="78" spans="1:11" ht="12.75" customHeight="1">
      <c r="A78" s="488" t="s">
        <v>279</v>
      </c>
      <c r="B78" s="638"/>
      <c r="C78" s="646" t="s">
        <v>266</v>
      </c>
      <c r="D78" s="898"/>
      <c r="E78" s="912">
        <v>4000000</v>
      </c>
      <c r="F78" s="922">
        <v>0</v>
      </c>
      <c r="G78" s="922">
        <v>0</v>
      </c>
      <c r="H78" s="922">
        <v>0</v>
      </c>
      <c r="I78" s="922">
        <v>0</v>
      </c>
      <c r="J78" s="922">
        <v>0</v>
      </c>
      <c r="K78" s="922">
        <v>0</v>
      </c>
    </row>
    <row r="79" spans="1:11" s="12" customFormat="1" ht="12.75" customHeight="1">
      <c r="A79" s="723" t="s">
        <v>212</v>
      </c>
      <c r="B79" s="639"/>
      <c r="C79" s="901" t="s">
        <v>768</v>
      </c>
      <c r="D79" s="902"/>
      <c r="E79" s="914">
        <f aca="true" t="shared" si="16" ref="E79:J79">SUM(E80:E83)</f>
        <v>15669000</v>
      </c>
      <c r="F79" s="924">
        <f t="shared" si="16"/>
        <v>0</v>
      </c>
      <c r="G79" s="924">
        <f t="shared" si="16"/>
        <v>0</v>
      </c>
      <c r="H79" s="924">
        <f t="shared" si="16"/>
        <v>0</v>
      </c>
      <c r="I79" s="924">
        <f t="shared" si="16"/>
        <v>0</v>
      </c>
      <c r="J79" s="924">
        <f t="shared" si="16"/>
        <v>0</v>
      </c>
      <c r="K79" s="924">
        <f>SUM(K80:K83)</f>
        <v>0</v>
      </c>
    </row>
    <row r="80" spans="1:11" ht="12.75" customHeight="1">
      <c r="A80" s="488" t="s">
        <v>214</v>
      </c>
      <c r="B80" s="638"/>
      <c r="C80" s="646" t="s">
        <v>264</v>
      </c>
      <c r="D80" s="898"/>
      <c r="E80" s="912">
        <v>6139000</v>
      </c>
      <c r="F80" s="922">
        <v>0</v>
      </c>
      <c r="G80" s="922">
        <v>0</v>
      </c>
      <c r="H80" s="922">
        <v>0</v>
      </c>
      <c r="I80" s="922">
        <v>0</v>
      </c>
      <c r="J80" s="922">
        <v>0</v>
      </c>
      <c r="K80" s="922">
        <v>0</v>
      </c>
    </row>
    <row r="81" spans="1:11" ht="12.75" customHeight="1">
      <c r="A81" s="488" t="s">
        <v>281</v>
      </c>
      <c r="B81" s="638"/>
      <c r="C81" s="646" t="s">
        <v>265</v>
      </c>
      <c r="D81" s="898"/>
      <c r="E81" s="912">
        <v>1702000</v>
      </c>
      <c r="F81" s="922">
        <v>0</v>
      </c>
      <c r="G81" s="922">
        <v>0</v>
      </c>
      <c r="H81" s="922">
        <v>0</v>
      </c>
      <c r="I81" s="922">
        <v>0</v>
      </c>
      <c r="J81" s="922">
        <v>0</v>
      </c>
      <c r="K81" s="922">
        <v>0</v>
      </c>
    </row>
    <row r="82" spans="1:11" ht="12.75" customHeight="1">
      <c r="A82" s="488" t="s">
        <v>282</v>
      </c>
      <c r="B82" s="638"/>
      <c r="C82" s="646" t="s">
        <v>266</v>
      </c>
      <c r="D82" s="898"/>
      <c r="E82" s="912">
        <v>7628000</v>
      </c>
      <c r="F82" s="922">
        <v>0</v>
      </c>
      <c r="G82" s="922">
        <v>0</v>
      </c>
      <c r="H82" s="922">
        <v>0</v>
      </c>
      <c r="I82" s="922">
        <v>0</v>
      </c>
      <c r="J82" s="922">
        <v>0</v>
      </c>
      <c r="K82" s="922">
        <v>0</v>
      </c>
    </row>
    <row r="83" spans="1:11" ht="12.75" customHeight="1" thickBot="1">
      <c r="A83" s="748" t="s">
        <v>283</v>
      </c>
      <c r="B83" s="899"/>
      <c r="C83" s="563" t="s">
        <v>698</v>
      </c>
      <c r="D83" s="900"/>
      <c r="E83" s="913">
        <v>200000</v>
      </c>
      <c r="F83" s="923">
        <v>0</v>
      </c>
      <c r="G83" s="923">
        <v>0</v>
      </c>
      <c r="H83" s="923">
        <v>0</v>
      </c>
      <c r="I83" s="923">
        <v>0</v>
      </c>
      <c r="J83" s="923">
        <v>0</v>
      </c>
      <c r="K83" s="923">
        <v>0</v>
      </c>
    </row>
    <row r="84" spans="1:11" s="793" customFormat="1" ht="48" customHeight="1" thickBot="1">
      <c r="A84" s="935" t="s">
        <v>284</v>
      </c>
      <c r="B84" s="792"/>
      <c r="C84" s="1901" t="s">
        <v>564</v>
      </c>
      <c r="D84" s="1901"/>
      <c r="E84" s="933">
        <f>SUM(E29+E34+E39+E44+E49+E54+E59+E63+E68+E70)+E75+E79</f>
        <v>108076000</v>
      </c>
      <c r="F84" s="934">
        <f aca="true" t="shared" si="17" ref="F84:K84">SUM(F29+F34+F39+F44+F49+F54+F59+F63+F68+F70)</f>
        <v>94122000</v>
      </c>
      <c r="G84" s="934">
        <f t="shared" si="17"/>
        <v>89518407</v>
      </c>
      <c r="H84" s="934">
        <f t="shared" si="17"/>
        <v>89774063</v>
      </c>
      <c r="I84" s="934">
        <f t="shared" si="17"/>
        <v>89774063</v>
      </c>
      <c r="J84" s="934">
        <f t="shared" si="17"/>
        <v>90731054</v>
      </c>
      <c r="K84" s="934">
        <f t="shared" si="17"/>
        <v>88180563</v>
      </c>
    </row>
    <row r="85" spans="1:11" ht="12.75" customHeight="1">
      <c r="A85" s="1374" t="s">
        <v>286</v>
      </c>
      <c r="B85" s="1375"/>
      <c r="C85" s="1360" t="s">
        <v>541</v>
      </c>
      <c r="D85" s="1376">
        <v>31</v>
      </c>
      <c r="E85" s="1377">
        <v>50508000</v>
      </c>
      <c r="F85" s="1378">
        <f aca="true" t="shared" si="18" ref="F85:H86">SUM(F30+F35+F40+F45+F50+F55+F60+F64+F71)</f>
        <v>46037000</v>
      </c>
      <c r="G85" s="1378">
        <f t="shared" si="18"/>
        <v>41889596</v>
      </c>
      <c r="H85" s="1378">
        <f t="shared" si="18"/>
        <v>42103616</v>
      </c>
      <c r="I85" s="1378">
        <f aca="true" t="shared" si="19" ref="I85:K86">SUM(I30+I35+I40+I45+I50+I55+I60+I64+I71)</f>
        <v>42103616</v>
      </c>
      <c r="J85" s="1378">
        <f t="shared" si="19"/>
        <v>42852034</v>
      </c>
      <c r="K85" s="1378">
        <f t="shared" si="19"/>
        <v>42785576</v>
      </c>
    </row>
    <row r="86" spans="1:11" ht="12.75" customHeight="1">
      <c r="A86" s="791" t="s">
        <v>288</v>
      </c>
      <c r="B86" s="1315"/>
      <c r="C86" s="1369" t="s">
        <v>265</v>
      </c>
      <c r="D86" s="1317"/>
      <c r="E86" s="1370">
        <f>SUM(E31+E36+E41+E46+E51+E56+E61+E65+E72)+E77+E81</f>
        <v>12285000</v>
      </c>
      <c r="F86" s="1371">
        <f t="shared" si="18"/>
        <v>9033000</v>
      </c>
      <c r="G86" s="1371">
        <f t="shared" si="18"/>
        <v>8576811</v>
      </c>
      <c r="H86" s="1371">
        <f t="shared" si="18"/>
        <v>8618447</v>
      </c>
      <c r="I86" s="1371">
        <f t="shared" si="19"/>
        <v>8618447</v>
      </c>
      <c r="J86" s="1371">
        <f t="shared" si="19"/>
        <v>8827020</v>
      </c>
      <c r="K86" s="1371">
        <f t="shared" si="19"/>
        <v>9043350</v>
      </c>
    </row>
    <row r="87" spans="1:11" ht="12.75" customHeight="1">
      <c r="A87" s="1379" t="s">
        <v>290</v>
      </c>
      <c r="B87" s="1320"/>
      <c r="C87" s="1372" t="s">
        <v>708</v>
      </c>
      <c r="D87" s="1321"/>
      <c r="E87" s="1373">
        <v>42833000</v>
      </c>
      <c r="F87" s="1373">
        <f aca="true" t="shared" si="20" ref="F87:K87">SUM(F32+F37+F42+F47+F52+F57+F62+F66+F73)+F69</f>
        <v>38702000</v>
      </c>
      <c r="G87" s="1373">
        <f t="shared" si="20"/>
        <v>38702000</v>
      </c>
      <c r="H87" s="1380">
        <f t="shared" si="20"/>
        <v>38552000</v>
      </c>
      <c r="I87" s="1380">
        <f t="shared" si="20"/>
        <v>38552000</v>
      </c>
      <c r="J87" s="1380">
        <f t="shared" si="20"/>
        <v>38552000</v>
      </c>
      <c r="K87" s="1380">
        <f t="shared" si="20"/>
        <v>35581094</v>
      </c>
    </row>
    <row r="88" spans="1:11" ht="12.75" customHeight="1">
      <c r="A88" s="1379" t="s">
        <v>292</v>
      </c>
      <c r="B88" s="1320"/>
      <c r="C88" s="646" t="s">
        <v>263</v>
      </c>
      <c r="D88" s="1321"/>
      <c r="E88" s="1373">
        <v>2450000</v>
      </c>
      <c r="F88" s="1373">
        <f>SUM(F33+F38+F43+F48+F53+F58+F67)</f>
        <v>350000</v>
      </c>
      <c r="G88" s="1373">
        <f>SUM(G33+G38+G43+G48+G53+G58+G67)</f>
        <v>350000</v>
      </c>
      <c r="H88" s="1380">
        <f>SUM(H33+H38+H43+H48+H53+H58+H67)</f>
        <v>500000</v>
      </c>
      <c r="I88" s="1380">
        <f>SUM(I33+I38+I43+I48+I53+I58+I67)</f>
        <v>500000</v>
      </c>
      <c r="J88" s="1380">
        <f>SUM(J33+J38+J43+J48+J53+J58+J67)</f>
        <v>500000</v>
      </c>
      <c r="K88" s="1380">
        <v>770543</v>
      </c>
    </row>
    <row r="89" spans="1:11" s="872" customFormat="1" ht="12.75" customHeight="1">
      <c r="A89" s="1381" t="s">
        <v>294</v>
      </c>
      <c r="B89" s="1280"/>
      <c r="C89" s="1280" t="s">
        <v>882</v>
      </c>
      <c r="D89" s="1280"/>
      <c r="E89" s="1382"/>
      <c r="F89" s="1382"/>
      <c r="G89" s="1382"/>
      <c r="H89" s="1383">
        <v>500000</v>
      </c>
      <c r="I89" s="1383">
        <v>500000</v>
      </c>
      <c r="J89" s="1383">
        <v>500000</v>
      </c>
      <c r="K89" s="1383">
        <v>770543</v>
      </c>
    </row>
    <row r="90" spans="1:11" s="872" customFormat="1" ht="12.75" customHeight="1" thickBot="1">
      <c r="A90" s="1349" t="s">
        <v>296</v>
      </c>
      <c r="B90" s="1350"/>
      <c r="C90" s="1350" t="s">
        <v>883</v>
      </c>
      <c r="D90" s="1350"/>
      <c r="E90" s="1367"/>
      <c r="F90" s="1367"/>
      <c r="G90" s="1367"/>
      <c r="H90" s="1368"/>
      <c r="I90" s="1368"/>
      <c r="J90" s="1368"/>
      <c r="K90" s="1368"/>
    </row>
  </sheetData>
  <sheetProtection selectLockedCells="1" selectUnlockedCells="1"/>
  <mergeCells count="24">
    <mergeCell ref="A1:J1"/>
    <mergeCell ref="C10:D10"/>
    <mergeCell ref="C11:D11"/>
    <mergeCell ref="C8:D8"/>
    <mergeCell ref="A9:B9"/>
    <mergeCell ref="C9:D9"/>
    <mergeCell ref="A8:B8"/>
    <mergeCell ref="A5:K5"/>
    <mergeCell ref="A3:K3"/>
    <mergeCell ref="C4:J4"/>
    <mergeCell ref="C84:D84"/>
    <mergeCell ref="C13:D13"/>
    <mergeCell ref="C14:D14"/>
    <mergeCell ref="C15:D15"/>
    <mergeCell ref="C16:D16"/>
    <mergeCell ref="C18:D18"/>
    <mergeCell ref="C19:D19"/>
    <mergeCell ref="C21:D21"/>
    <mergeCell ref="A28:B28"/>
    <mergeCell ref="C24:D24"/>
    <mergeCell ref="C20:D20"/>
    <mergeCell ref="A27:B27"/>
    <mergeCell ref="C23:D23"/>
    <mergeCell ref="E7:K7"/>
  </mergeCells>
  <printOptions horizontalCentered="1"/>
  <pageMargins left="0.1968503937007874" right="0.1968503937007874" top="0.2755905511811024" bottom="0.2755905511811024" header="0.5118110236220472" footer="0.7874015748031497"/>
  <pageSetup horizontalDpi="600" verticalDpi="600" orientation="portrait" paperSize="9" scale="55" r:id="rId1"/>
  <headerFooter alignWithMargins="0"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21" customWidth="1"/>
    <col min="2" max="2" width="14.7109375" style="21" customWidth="1"/>
    <col min="3" max="16384" width="9.140625" style="21" customWidth="1"/>
  </cols>
  <sheetData>
    <row r="1" ht="12.75" customHeight="1">
      <c r="B1" s="22" t="s">
        <v>21</v>
      </c>
    </row>
    <row r="2" spans="1:2" ht="12.75" customHeight="1">
      <c r="A2" s="1647" t="s">
        <v>22</v>
      </c>
      <c r="B2" s="1647"/>
    </row>
    <row r="3" ht="12.75" customHeight="1">
      <c r="B3" s="22"/>
    </row>
    <row r="4" ht="12.75" customHeight="1">
      <c r="A4" s="23" t="s">
        <v>23</v>
      </c>
    </row>
    <row r="6" ht="12.75" customHeight="1">
      <c r="B6" s="24" t="s">
        <v>4</v>
      </c>
    </row>
    <row r="7" spans="1:2" ht="15" customHeight="1">
      <c r="A7" s="25" t="s">
        <v>24</v>
      </c>
      <c r="B7" s="25" t="s">
        <v>25</v>
      </c>
    </row>
    <row r="8" spans="1:2" ht="12.75" customHeight="1">
      <c r="A8" s="26" t="s">
        <v>26</v>
      </c>
      <c r="B8" s="26">
        <v>350</v>
      </c>
    </row>
    <row r="9" spans="1:2" ht="12.75" customHeight="1">
      <c r="A9" s="27" t="s">
        <v>27</v>
      </c>
      <c r="B9" s="27">
        <v>500</v>
      </c>
    </row>
    <row r="10" spans="1:2" ht="12.75" customHeight="1">
      <c r="A10" s="27" t="s">
        <v>28</v>
      </c>
      <c r="B10" s="27">
        <v>100</v>
      </c>
    </row>
    <row r="11" spans="1:2" ht="12.75" customHeight="1">
      <c r="A11" s="25" t="s">
        <v>29</v>
      </c>
      <c r="B11" s="25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K134"/>
  <sheetViews>
    <sheetView view="pageBreakPreview" zoomScale="110" zoomScaleSheetLayoutView="110" zoomScalePageLayoutView="0" workbookViewId="0" topLeftCell="A1">
      <selection activeCell="C15" sqref="C15:D15"/>
    </sheetView>
  </sheetViews>
  <sheetFormatPr defaultColWidth="11.57421875" defaultRowHeight="12.75" customHeight="1"/>
  <cols>
    <col min="1" max="1" width="4.00390625" style="352" customWidth="1"/>
    <col min="2" max="2" width="4.28125" style="352" customWidth="1"/>
    <col min="3" max="3" width="40.421875" style="352" customWidth="1"/>
    <col min="4" max="4" width="4.28125" style="352" customWidth="1"/>
    <col min="5" max="5" width="16.00390625" style="352" hidden="1" customWidth="1"/>
    <col min="6" max="6" width="15.8515625" style="352" customWidth="1"/>
    <col min="7" max="7" width="15.7109375" style="352" customWidth="1"/>
    <col min="8" max="8" width="16.28125" style="352" customWidth="1"/>
    <col min="9" max="9" width="16.140625" style="352" customWidth="1"/>
    <col min="10" max="10" width="15.57421875" style="352" customWidth="1"/>
    <col min="11" max="11" width="18.57421875" style="352" customWidth="1"/>
    <col min="12" max="16384" width="11.57421875" style="352" customWidth="1"/>
  </cols>
  <sheetData>
    <row r="1" spans="1:10" s="353" customFormat="1" ht="18" customHeight="1">
      <c r="A1" s="1973" t="s">
        <v>557</v>
      </c>
      <c r="B1" s="1973"/>
      <c r="C1" s="1973"/>
      <c r="D1" s="1973"/>
      <c r="E1" s="1973"/>
      <c r="F1" s="1973"/>
      <c r="G1" s="1973"/>
      <c r="H1" s="1973"/>
      <c r="I1" s="1973"/>
      <c r="J1" s="1973"/>
    </row>
    <row r="2" spans="1:11" ht="12.75" customHeight="1">
      <c r="A2" s="1923" t="s">
        <v>1133</v>
      </c>
      <c r="B2" s="1923"/>
      <c r="C2" s="1923"/>
      <c r="D2" s="1923"/>
      <c r="E2" s="1923"/>
      <c r="F2" s="1923"/>
      <c r="G2" s="1923"/>
      <c r="H2" s="1923"/>
      <c r="I2" s="1923"/>
      <c r="J2" s="1923"/>
      <c r="K2" s="1923"/>
    </row>
    <row r="3" spans="3:11" ht="12" customHeight="1">
      <c r="C3" s="1924" t="s">
        <v>1155</v>
      </c>
      <c r="D3" s="1924"/>
      <c r="E3" s="1924"/>
      <c r="F3" s="1924"/>
      <c r="G3" s="1924"/>
      <c r="H3" s="1924"/>
      <c r="I3" s="1924"/>
      <c r="J3" s="1924"/>
      <c r="K3" s="1924"/>
    </row>
    <row r="4" spans="1:11" ht="18" customHeight="1">
      <c r="A4" s="1922" t="s">
        <v>566</v>
      </c>
      <c r="B4" s="1922"/>
      <c r="C4" s="1922"/>
      <c r="D4" s="1922"/>
      <c r="E4" s="1922"/>
      <c r="F4" s="1922"/>
      <c r="G4" s="1922"/>
      <c r="H4" s="1922"/>
      <c r="I4" s="1922"/>
      <c r="J4" s="1922"/>
      <c r="K4" s="1922"/>
    </row>
    <row r="5" spans="6:11" ht="24.75" customHeight="1">
      <c r="F5" s="354"/>
      <c r="G5" s="354"/>
      <c r="H5" s="354"/>
      <c r="I5" s="354"/>
      <c r="J5" s="354"/>
      <c r="K5" s="354"/>
    </row>
    <row r="6" spans="1:10" ht="12.75" customHeight="1" thickBot="1">
      <c r="A6" s="1917"/>
      <c r="B6" s="1917"/>
      <c r="C6" s="1917"/>
      <c r="D6" s="355"/>
      <c r="E6" s="356"/>
      <c r="F6" s="357"/>
      <c r="G6" s="1921" t="s">
        <v>155</v>
      </c>
      <c r="H6" s="1921"/>
      <c r="I6" s="1921"/>
      <c r="J6" s="1921"/>
    </row>
    <row r="7" spans="1:11" ht="42.75" customHeight="1">
      <c r="A7" s="1918" t="s">
        <v>156</v>
      </c>
      <c r="B7" s="1919"/>
      <c r="C7" s="1920" t="s">
        <v>157</v>
      </c>
      <c r="D7" s="1920"/>
      <c r="E7" s="815" t="s">
        <v>158</v>
      </c>
      <c r="F7" s="816" t="s">
        <v>159</v>
      </c>
      <c r="G7" s="816" t="s">
        <v>793</v>
      </c>
      <c r="H7" s="816" t="s">
        <v>803</v>
      </c>
      <c r="I7" s="816" t="s">
        <v>885</v>
      </c>
      <c r="J7" s="816" t="s">
        <v>891</v>
      </c>
      <c r="K7" s="816" t="s">
        <v>947</v>
      </c>
    </row>
    <row r="8" spans="1:11" ht="12.75" customHeight="1" thickBot="1">
      <c r="A8" s="1925" t="s">
        <v>161</v>
      </c>
      <c r="B8" s="1926"/>
      <c r="C8" s="1927" t="s">
        <v>162</v>
      </c>
      <c r="D8" s="1927"/>
      <c r="E8" s="839" t="s">
        <v>163</v>
      </c>
      <c r="F8" s="840" t="s">
        <v>164</v>
      </c>
      <c r="G8" s="840" t="s">
        <v>505</v>
      </c>
      <c r="H8" s="840" t="s">
        <v>525</v>
      </c>
      <c r="I8" s="840" t="s">
        <v>804</v>
      </c>
      <c r="J8" s="840" t="s">
        <v>890</v>
      </c>
      <c r="K8" s="840" t="s">
        <v>895</v>
      </c>
    </row>
    <row r="9" spans="1:11" s="803" customFormat="1" ht="29.25" customHeight="1">
      <c r="A9" s="837" t="s">
        <v>38</v>
      </c>
      <c r="B9" s="838"/>
      <c r="C9" s="1932" t="s">
        <v>639</v>
      </c>
      <c r="D9" s="1932"/>
      <c r="E9" s="802">
        <v>58009000</v>
      </c>
      <c r="F9" s="818">
        <v>60171959</v>
      </c>
      <c r="G9" s="818">
        <v>60171959</v>
      </c>
      <c r="H9" s="818">
        <v>60171959</v>
      </c>
      <c r="I9" s="818">
        <v>60171959</v>
      </c>
      <c r="J9" s="818">
        <v>60171959</v>
      </c>
      <c r="K9" s="818">
        <v>61362783</v>
      </c>
    </row>
    <row r="10" spans="1:11" s="803" customFormat="1" ht="27.75" customHeight="1">
      <c r="A10" s="817" t="s">
        <v>40</v>
      </c>
      <c r="B10" s="804"/>
      <c r="C10" s="1928" t="s">
        <v>640</v>
      </c>
      <c r="D10" s="1929"/>
      <c r="E10" s="800">
        <v>67773000</v>
      </c>
      <c r="F10" s="819">
        <v>68089907</v>
      </c>
      <c r="G10" s="819">
        <v>68089907</v>
      </c>
      <c r="H10" s="819">
        <v>68089907</v>
      </c>
      <c r="I10" s="819">
        <v>68089907</v>
      </c>
      <c r="J10" s="819">
        <v>68089907</v>
      </c>
      <c r="K10" s="819">
        <v>71201042</v>
      </c>
    </row>
    <row r="11" spans="1:11" s="803" customFormat="1" ht="25.5" customHeight="1">
      <c r="A11" s="820" t="s">
        <v>47</v>
      </c>
      <c r="B11" s="805"/>
      <c r="C11" s="1930" t="s">
        <v>661</v>
      </c>
      <c r="D11" s="1931"/>
      <c r="E11" s="800">
        <v>52490000</v>
      </c>
      <c r="F11" s="819">
        <v>50423193</v>
      </c>
      <c r="G11" s="819">
        <v>50423193</v>
      </c>
      <c r="H11" s="819">
        <v>50423193</v>
      </c>
      <c r="I11" s="819">
        <v>50423193</v>
      </c>
      <c r="J11" s="819">
        <v>50423193</v>
      </c>
      <c r="K11" s="819">
        <v>58979458</v>
      </c>
    </row>
    <row r="12" spans="1:11" s="803" customFormat="1" ht="29.25" customHeight="1">
      <c r="A12" s="821" t="s">
        <v>49</v>
      </c>
      <c r="B12" s="801"/>
      <c r="C12" s="1930" t="s">
        <v>641</v>
      </c>
      <c r="D12" s="1931"/>
      <c r="E12" s="800">
        <v>4028000</v>
      </c>
      <c r="F12" s="819">
        <v>3982020</v>
      </c>
      <c r="G12" s="819">
        <v>3982020</v>
      </c>
      <c r="H12" s="819">
        <v>3982020</v>
      </c>
      <c r="I12" s="819">
        <v>3982020</v>
      </c>
      <c r="J12" s="819">
        <v>3982020</v>
      </c>
      <c r="K12" s="819">
        <v>4769156</v>
      </c>
    </row>
    <row r="13" spans="1:11" s="803" customFormat="1" ht="29.25" customHeight="1">
      <c r="A13" s="821" t="s">
        <v>51</v>
      </c>
      <c r="B13" s="801"/>
      <c r="C13" s="1930" t="s">
        <v>642</v>
      </c>
      <c r="D13" s="1931"/>
      <c r="E13" s="800">
        <v>2561000</v>
      </c>
      <c r="F13" s="822"/>
      <c r="G13" s="822">
        <v>231100</v>
      </c>
      <c r="H13" s="822">
        <v>2794699</v>
      </c>
      <c r="I13" s="822">
        <v>2794699</v>
      </c>
      <c r="J13" s="822">
        <v>3796753</v>
      </c>
      <c r="K13" s="822">
        <v>6598590</v>
      </c>
    </row>
    <row r="14" spans="1:11" s="803" customFormat="1" ht="12">
      <c r="A14" s="821" t="s">
        <v>53</v>
      </c>
      <c r="B14" s="801"/>
      <c r="C14" s="1930" t="s">
        <v>643</v>
      </c>
      <c r="D14" s="1931"/>
      <c r="E14" s="939">
        <v>284000</v>
      </c>
      <c r="F14" s="819"/>
      <c r="G14" s="819">
        <v>3704266</v>
      </c>
      <c r="H14" s="819">
        <v>3704266</v>
      </c>
      <c r="I14" s="819">
        <v>3704266</v>
      </c>
      <c r="J14" s="819">
        <v>5065640</v>
      </c>
      <c r="K14" s="819">
        <v>5065640</v>
      </c>
    </row>
    <row r="15" spans="1:11" ht="12.75">
      <c r="A15" s="823" t="s">
        <v>55</v>
      </c>
      <c r="B15" s="358"/>
      <c r="C15" s="1933" t="s">
        <v>899</v>
      </c>
      <c r="D15" s="1934"/>
      <c r="E15" s="940">
        <f aca="true" t="shared" si="0" ref="E15:J15">SUM(E9:E14)</f>
        <v>185145000</v>
      </c>
      <c r="F15" s="824">
        <f t="shared" si="0"/>
        <v>182667079</v>
      </c>
      <c r="G15" s="824">
        <f t="shared" si="0"/>
        <v>186602445</v>
      </c>
      <c r="H15" s="824">
        <f t="shared" si="0"/>
        <v>189166044</v>
      </c>
      <c r="I15" s="824">
        <f t="shared" si="0"/>
        <v>189166044</v>
      </c>
      <c r="J15" s="824">
        <f t="shared" si="0"/>
        <v>191529472</v>
      </c>
      <c r="K15" s="824">
        <f>SUM(K9:K14)</f>
        <v>207976669</v>
      </c>
    </row>
    <row r="16" spans="1:11" ht="25.5" customHeight="1">
      <c r="A16" s="823" t="s">
        <v>57</v>
      </c>
      <c r="B16" s="358"/>
      <c r="C16" s="1951" t="s">
        <v>900</v>
      </c>
      <c r="D16" s="1952"/>
      <c r="E16" s="940">
        <f>SUM(E18:E19)</f>
        <v>44500000</v>
      </c>
      <c r="F16" s="824">
        <f>SUM(F17:F19)</f>
        <v>15145000</v>
      </c>
      <c r="G16" s="824">
        <f>SUM(G17:G19)</f>
        <v>9941807</v>
      </c>
      <c r="H16" s="824">
        <f>SUM(H17:H19)</f>
        <v>9941807</v>
      </c>
      <c r="I16" s="824">
        <f>SUM(I17:I19)</f>
        <v>9941807</v>
      </c>
      <c r="J16" s="824">
        <v>45139149</v>
      </c>
      <c r="K16" s="824">
        <v>122585055</v>
      </c>
    </row>
    <row r="17" spans="1:11" s="799" customFormat="1" ht="12">
      <c r="A17" s="825" t="s">
        <v>86</v>
      </c>
      <c r="B17" s="798"/>
      <c r="C17" s="1953" t="s">
        <v>662</v>
      </c>
      <c r="D17" s="1954"/>
      <c r="E17" s="941"/>
      <c r="F17" s="826"/>
      <c r="G17" s="826"/>
      <c r="H17" s="826"/>
      <c r="I17" s="826"/>
      <c r="J17" s="826"/>
      <c r="K17" s="826"/>
    </row>
    <row r="18" spans="1:11" s="799" customFormat="1" ht="12">
      <c r="A18" s="825" t="s">
        <v>59</v>
      </c>
      <c r="B18" s="798"/>
      <c r="C18" s="1953" t="s">
        <v>901</v>
      </c>
      <c r="D18" s="1954"/>
      <c r="E18" s="941">
        <v>31199000</v>
      </c>
      <c r="F18" s="826">
        <v>0</v>
      </c>
      <c r="G18" s="826">
        <v>0</v>
      </c>
      <c r="H18" s="826">
        <v>0</v>
      </c>
      <c r="I18" s="826">
        <v>0</v>
      </c>
      <c r="J18" s="826">
        <v>0</v>
      </c>
      <c r="K18" s="826">
        <v>0</v>
      </c>
    </row>
    <row r="19" spans="1:11" s="799" customFormat="1" ht="12">
      <c r="A19" s="825" t="s">
        <v>61</v>
      </c>
      <c r="B19" s="798"/>
      <c r="C19" s="1955" t="s">
        <v>902</v>
      </c>
      <c r="D19" s="1956"/>
      <c r="E19" s="941">
        <v>13301000</v>
      </c>
      <c r="F19" s="849">
        <v>15145000</v>
      </c>
      <c r="G19" s="849">
        <v>9941807</v>
      </c>
      <c r="H19" s="849">
        <v>9941807</v>
      </c>
      <c r="I19" s="849">
        <v>9941807</v>
      </c>
      <c r="J19" s="849">
        <v>9941807</v>
      </c>
      <c r="K19" s="849">
        <v>9857005</v>
      </c>
    </row>
    <row r="20" spans="1:11" s="799" customFormat="1" ht="12">
      <c r="A20" s="825" t="s">
        <v>63</v>
      </c>
      <c r="B20" s="798"/>
      <c r="C20" s="1974" t="s">
        <v>903</v>
      </c>
      <c r="D20" s="1975"/>
      <c r="E20" s="941">
        <v>0</v>
      </c>
      <c r="F20" s="849">
        <v>0</v>
      </c>
      <c r="G20" s="849">
        <v>0</v>
      </c>
      <c r="H20" s="849">
        <v>0</v>
      </c>
      <c r="I20" s="849">
        <v>0</v>
      </c>
      <c r="J20" s="849">
        <v>35197342</v>
      </c>
      <c r="K20" s="849">
        <v>112728050</v>
      </c>
    </row>
    <row r="21" spans="1:11" s="807" customFormat="1" ht="33" customHeight="1">
      <c r="A21" s="827" t="s">
        <v>65</v>
      </c>
      <c r="B21" s="806" t="s">
        <v>167</v>
      </c>
      <c r="C21" s="1939" t="s">
        <v>904</v>
      </c>
      <c r="D21" s="1940"/>
      <c r="E21" s="942">
        <f aca="true" t="shared" si="1" ref="E21:J21">SUM(E15+E16)</f>
        <v>229645000</v>
      </c>
      <c r="F21" s="829">
        <f t="shared" si="1"/>
        <v>197812079</v>
      </c>
      <c r="G21" s="829">
        <f t="shared" si="1"/>
        <v>196544252</v>
      </c>
      <c r="H21" s="829">
        <f t="shared" si="1"/>
        <v>199107851</v>
      </c>
      <c r="I21" s="829">
        <f t="shared" si="1"/>
        <v>199107851</v>
      </c>
      <c r="J21" s="829">
        <f t="shared" si="1"/>
        <v>236668621</v>
      </c>
      <c r="K21" s="829">
        <f>SUM(K15+K16)</f>
        <v>330561724</v>
      </c>
    </row>
    <row r="22" spans="1:11" s="1592" customFormat="1" ht="25.5">
      <c r="A22" s="1587" t="s">
        <v>92</v>
      </c>
      <c r="B22" s="1588"/>
      <c r="C22" s="1589" t="s">
        <v>968</v>
      </c>
      <c r="D22" s="1590"/>
      <c r="E22" s="1591"/>
      <c r="F22" s="824">
        <v>0</v>
      </c>
      <c r="G22" s="824">
        <v>0</v>
      </c>
      <c r="H22" s="824">
        <v>0</v>
      </c>
      <c r="I22" s="824">
        <v>0</v>
      </c>
      <c r="J22" s="824">
        <v>0</v>
      </c>
      <c r="K22" s="824">
        <v>187000</v>
      </c>
    </row>
    <row r="23" spans="1:11" s="1415" customFormat="1" ht="33" customHeight="1">
      <c r="A23" s="1411" t="s">
        <v>66</v>
      </c>
      <c r="B23" s="1412"/>
      <c r="C23" s="1976" t="s">
        <v>906</v>
      </c>
      <c r="D23" s="1977"/>
      <c r="E23" s="1413">
        <v>0</v>
      </c>
      <c r="F23" s="1414"/>
      <c r="G23" s="1414"/>
      <c r="H23" s="1414"/>
      <c r="I23" s="1414"/>
      <c r="J23" s="1414">
        <v>333740979</v>
      </c>
      <c r="K23" s="1414">
        <v>579001024</v>
      </c>
    </row>
    <row r="24" spans="1:11" s="1420" customFormat="1" ht="12">
      <c r="A24" s="1416" t="s">
        <v>67</v>
      </c>
      <c r="B24" s="1417"/>
      <c r="C24" s="1978" t="s">
        <v>907</v>
      </c>
      <c r="D24" s="1979"/>
      <c r="E24" s="1418"/>
      <c r="F24" s="1419"/>
      <c r="G24" s="1419"/>
      <c r="H24" s="1419"/>
      <c r="I24" s="1419"/>
      <c r="J24" s="1421">
        <v>333740979</v>
      </c>
      <c r="K24" s="1421">
        <v>579001024</v>
      </c>
    </row>
    <row r="25" spans="1:11" s="376" customFormat="1" ht="27" customHeight="1">
      <c r="A25" s="828" t="s">
        <v>68</v>
      </c>
      <c r="B25" s="809" t="s">
        <v>169</v>
      </c>
      <c r="C25" s="1941" t="s">
        <v>905</v>
      </c>
      <c r="D25" s="1941"/>
      <c r="E25" s="943">
        <v>80000000</v>
      </c>
      <c r="F25" s="829">
        <v>0</v>
      </c>
      <c r="G25" s="829">
        <v>0</v>
      </c>
      <c r="H25" s="829">
        <v>0</v>
      </c>
      <c r="I25" s="829">
        <v>0</v>
      </c>
      <c r="J25" s="829">
        <f>SUM(J23)</f>
        <v>333740979</v>
      </c>
      <c r="K25" s="829">
        <f>SUM(K23)+K22</f>
        <v>579188024</v>
      </c>
    </row>
    <row r="26" spans="1:11" s="811" customFormat="1" ht="12">
      <c r="A26" s="821" t="s">
        <v>70</v>
      </c>
      <c r="B26" s="810"/>
      <c r="C26" s="1935" t="s">
        <v>656</v>
      </c>
      <c r="D26" s="1936"/>
      <c r="E26" s="944">
        <v>6755000</v>
      </c>
      <c r="F26" s="819">
        <v>6755000</v>
      </c>
      <c r="G26" s="819">
        <v>6755000</v>
      </c>
      <c r="H26" s="819">
        <v>6755000</v>
      </c>
      <c r="I26" s="819">
        <v>6755000</v>
      </c>
      <c r="J26" s="819">
        <v>6755000</v>
      </c>
      <c r="K26" s="819">
        <v>6985609</v>
      </c>
    </row>
    <row r="27" spans="1:11" s="811" customFormat="1" ht="12">
      <c r="A27" s="821" t="s">
        <v>97</v>
      </c>
      <c r="B27" s="810"/>
      <c r="C27" s="1947" t="s">
        <v>657</v>
      </c>
      <c r="D27" s="1948"/>
      <c r="E27" s="944">
        <v>133432000</v>
      </c>
      <c r="F27" s="819">
        <v>134000000</v>
      </c>
      <c r="G27" s="819">
        <v>134000000</v>
      </c>
      <c r="H27" s="819">
        <v>134000000</v>
      </c>
      <c r="I27" s="819">
        <v>134000000</v>
      </c>
      <c r="J27" s="819">
        <v>134000000</v>
      </c>
      <c r="K27" s="819">
        <v>153700078</v>
      </c>
    </row>
    <row r="28" spans="1:11" s="811" customFormat="1" ht="12">
      <c r="A28" s="821" t="s">
        <v>99</v>
      </c>
      <c r="B28" s="810"/>
      <c r="C28" s="1947" t="s">
        <v>658</v>
      </c>
      <c r="D28" s="1948"/>
      <c r="E28" s="944">
        <v>8378000</v>
      </c>
      <c r="F28" s="819">
        <v>8935000</v>
      </c>
      <c r="G28" s="819">
        <v>8935000</v>
      </c>
      <c r="H28" s="819">
        <v>8935000</v>
      </c>
      <c r="I28" s="819">
        <v>8935000</v>
      </c>
      <c r="J28" s="819">
        <v>9235000</v>
      </c>
      <c r="K28" s="819">
        <v>10051757</v>
      </c>
    </row>
    <row r="29" spans="1:11" s="811" customFormat="1" ht="26.25" customHeight="1">
      <c r="A29" s="821" t="s">
        <v>101</v>
      </c>
      <c r="B29" s="810"/>
      <c r="C29" s="1957" t="s">
        <v>659</v>
      </c>
      <c r="D29" s="1958"/>
      <c r="E29" s="944">
        <v>315000</v>
      </c>
      <c r="F29" s="819">
        <v>315000</v>
      </c>
      <c r="G29" s="819">
        <v>0</v>
      </c>
      <c r="H29" s="819">
        <v>0</v>
      </c>
      <c r="I29" s="819">
        <v>0</v>
      </c>
      <c r="J29" s="819">
        <v>0</v>
      </c>
      <c r="K29" s="819">
        <v>0</v>
      </c>
    </row>
    <row r="30" spans="1:11" s="811" customFormat="1" ht="17.25" customHeight="1">
      <c r="A30" s="821" t="s">
        <v>103</v>
      </c>
      <c r="B30" s="810"/>
      <c r="C30" s="1963" t="s">
        <v>660</v>
      </c>
      <c r="D30" s="1964"/>
      <c r="E30" s="944">
        <v>1000000</v>
      </c>
      <c r="F30" s="819">
        <v>150000</v>
      </c>
      <c r="G30" s="819">
        <v>465000</v>
      </c>
      <c r="H30" s="819">
        <v>465000</v>
      </c>
      <c r="I30" s="819">
        <v>465000</v>
      </c>
      <c r="J30" s="819">
        <v>465000</v>
      </c>
      <c r="K30" s="819">
        <v>608170</v>
      </c>
    </row>
    <row r="31" spans="1:11" s="376" customFormat="1" ht="12.75">
      <c r="A31" s="828" t="s">
        <v>105</v>
      </c>
      <c r="B31" s="809" t="s">
        <v>176</v>
      </c>
      <c r="C31" s="1965" t="s">
        <v>909</v>
      </c>
      <c r="D31" s="1966"/>
      <c r="E31" s="943">
        <f aca="true" t="shared" si="2" ref="E31:J31">SUM(E26:E30)</f>
        <v>149880000</v>
      </c>
      <c r="F31" s="829">
        <f t="shared" si="2"/>
        <v>150155000</v>
      </c>
      <c r="G31" s="829">
        <f t="shared" si="2"/>
        <v>150155000</v>
      </c>
      <c r="H31" s="829">
        <f t="shared" si="2"/>
        <v>150155000</v>
      </c>
      <c r="I31" s="829">
        <f t="shared" si="2"/>
        <v>150155000</v>
      </c>
      <c r="J31" s="829">
        <f t="shared" si="2"/>
        <v>150455000</v>
      </c>
      <c r="K31" s="829">
        <f>SUM(K26:K30)</f>
        <v>171345614</v>
      </c>
    </row>
    <row r="32" spans="1:11" s="376" customFormat="1" ht="12.75">
      <c r="A32" s="823" t="s">
        <v>107</v>
      </c>
      <c r="B32" s="809"/>
      <c r="C32" s="1967" t="s">
        <v>644</v>
      </c>
      <c r="D32" s="1968"/>
      <c r="E32" s="945">
        <v>4671000</v>
      </c>
      <c r="F32" s="824">
        <v>5050000</v>
      </c>
      <c r="G32" s="824">
        <v>5050000</v>
      </c>
      <c r="H32" s="824">
        <v>4850000</v>
      </c>
      <c r="I32" s="824">
        <v>4850000</v>
      </c>
      <c r="J32" s="824">
        <v>4850000</v>
      </c>
      <c r="K32" s="824">
        <v>5382544</v>
      </c>
    </row>
    <row r="33" spans="1:11" s="376" customFormat="1" ht="12.75">
      <c r="A33" s="823" t="s">
        <v>109</v>
      </c>
      <c r="B33" s="809"/>
      <c r="C33" s="1969" t="s">
        <v>179</v>
      </c>
      <c r="D33" s="1970"/>
      <c r="E33" s="945">
        <v>4859000</v>
      </c>
      <c r="F33" s="824">
        <v>52000</v>
      </c>
      <c r="G33" s="824">
        <v>2800000</v>
      </c>
      <c r="H33" s="824">
        <v>3000000</v>
      </c>
      <c r="I33" s="824">
        <v>3000000</v>
      </c>
      <c r="J33" s="824">
        <v>3000000</v>
      </c>
      <c r="K33" s="824">
        <v>3652459</v>
      </c>
    </row>
    <row r="34" spans="1:11" s="376" customFormat="1" ht="12.75">
      <c r="A34" s="823" t="s">
        <v>111</v>
      </c>
      <c r="B34" s="809"/>
      <c r="C34" s="1969" t="s">
        <v>180</v>
      </c>
      <c r="D34" s="1970"/>
      <c r="E34" s="945">
        <v>500000</v>
      </c>
      <c r="F34" s="824">
        <v>650000</v>
      </c>
      <c r="G34" s="824">
        <v>650000</v>
      </c>
      <c r="H34" s="824">
        <v>650000</v>
      </c>
      <c r="I34" s="824">
        <v>650000</v>
      </c>
      <c r="J34" s="824">
        <v>650000</v>
      </c>
      <c r="K34" s="824">
        <v>846660</v>
      </c>
    </row>
    <row r="35" spans="1:11" s="376" customFormat="1" ht="12.75">
      <c r="A35" s="823" t="s">
        <v>113</v>
      </c>
      <c r="B35" s="809"/>
      <c r="C35" s="1969" t="s">
        <v>182</v>
      </c>
      <c r="D35" s="1970"/>
      <c r="E35" s="945">
        <v>4830000</v>
      </c>
      <c r="F35" s="824">
        <v>4900585</v>
      </c>
      <c r="G35" s="824">
        <v>4900585</v>
      </c>
      <c r="H35" s="824">
        <v>4900585</v>
      </c>
      <c r="I35" s="824">
        <v>4900585</v>
      </c>
      <c r="J35" s="824">
        <v>4735607</v>
      </c>
      <c r="K35" s="824">
        <v>4226887</v>
      </c>
    </row>
    <row r="36" spans="1:11" s="376" customFormat="1" ht="12.75">
      <c r="A36" s="823" t="s">
        <v>115</v>
      </c>
      <c r="B36" s="809"/>
      <c r="C36" s="1102" t="s">
        <v>795</v>
      </c>
      <c r="D36" s="1103"/>
      <c r="E36" s="945">
        <v>0</v>
      </c>
      <c r="F36" s="824">
        <v>0</v>
      </c>
      <c r="G36" s="824">
        <v>5708000</v>
      </c>
      <c r="H36" s="824">
        <v>5708000</v>
      </c>
      <c r="I36" s="824">
        <v>5708000</v>
      </c>
      <c r="J36" s="824">
        <v>5708000</v>
      </c>
      <c r="K36" s="824">
        <v>5708000</v>
      </c>
    </row>
    <row r="37" spans="1:11" ht="12.75">
      <c r="A37" s="823" t="s">
        <v>117</v>
      </c>
      <c r="B37" s="358"/>
      <c r="C37" s="1982" t="s">
        <v>655</v>
      </c>
      <c r="D37" s="1983"/>
      <c r="E37" s="940">
        <v>40000</v>
      </c>
      <c r="F37" s="824">
        <v>30000</v>
      </c>
      <c r="G37" s="824">
        <v>20000</v>
      </c>
      <c r="H37" s="824">
        <v>20000</v>
      </c>
      <c r="I37" s="824">
        <v>20000</v>
      </c>
      <c r="J37" s="824">
        <v>20000</v>
      </c>
      <c r="K37" s="824">
        <v>2867</v>
      </c>
    </row>
    <row r="38" spans="1:11" ht="12.75">
      <c r="A38" s="823" t="s">
        <v>118</v>
      </c>
      <c r="B38" s="358"/>
      <c r="C38" s="1422" t="s">
        <v>908</v>
      </c>
      <c r="D38" s="1423"/>
      <c r="E38" s="940"/>
      <c r="F38" s="824"/>
      <c r="G38" s="824"/>
      <c r="H38" s="824"/>
      <c r="I38" s="824"/>
      <c r="J38" s="824">
        <v>61230</v>
      </c>
      <c r="K38" s="824">
        <v>61230</v>
      </c>
    </row>
    <row r="39" spans="1:11" ht="12.75" customHeight="1">
      <c r="A39" s="823" t="s">
        <v>120</v>
      </c>
      <c r="B39" s="358"/>
      <c r="C39" s="1984" t="s">
        <v>185</v>
      </c>
      <c r="D39" s="1985"/>
      <c r="E39" s="940">
        <v>4418000</v>
      </c>
      <c r="F39" s="824">
        <v>5700000</v>
      </c>
      <c r="G39" s="824">
        <v>2000</v>
      </c>
      <c r="H39" s="824">
        <v>2000</v>
      </c>
      <c r="I39" s="824">
        <v>2000</v>
      </c>
      <c r="J39" s="824">
        <v>2000</v>
      </c>
      <c r="K39" s="824">
        <v>9</v>
      </c>
    </row>
    <row r="40" spans="1:11" s="376" customFormat="1" ht="12.75">
      <c r="A40" s="828" t="s">
        <v>122</v>
      </c>
      <c r="B40" s="359" t="s">
        <v>186</v>
      </c>
      <c r="C40" s="1942" t="s">
        <v>910</v>
      </c>
      <c r="D40" s="1943"/>
      <c r="E40" s="946">
        <f aca="true" t="shared" si="3" ref="E40:J40">SUM(E32:E39)</f>
        <v>19318000</v>
      </c>
      <c r="F40" s="830">
        <f t="shared" si="3"/>
        <v>16382585</v>
      </c>
      <c r="G40" s="830">
        <f t="shared" si="3"/>
        <v>19130585</v>
      </c>
      <c r="H40" s="830">
        <f t="shared" si="3"/>
        <v>19130585</v>
      </c>
      <c r="I40" s="830">
        <f t="shared" si="3"/>
        <v>19130585</v>
      </c>
      <c r="J40" s="830">
        <f t="shared" si="3"/>
        <v>19026837</v>
      </c>
      <c r="K40" s="830">
        <f>SUM(K32:K39)</f>
        <v>19880656</v>
      </c>
    </row>
    <row r="41" spans="1:11" s="376" customFormat="1" ht="12.75" customHeight="1">
      <c r="A41" s="828" t="s">
        <v>124</v>
      </c>
      <c r="B41" s="359" t="s">
        <v>187</v>
      </c>
      <c r="C41" s="1944" t="s">
        <v>911</v>
      </c>
      <c r="D41" s="1944"/>
      <c r="E41" s="943">
        <v>41468000</v>
      </c>
      <c r="F41" s="685">
        <v>40639830</v>
      </c>
      <c r="G41" s="685">
        <v>40639830</v>
      </c>
      <c r="H41" s="685">
        <v>40639830</v>
      </c>
      <c r="I41" s="685">
        <v>40639830</v>
      </c>
      <c r="J41" s="685">
        <v>35985235</v>
      </c>
      <c r="K41" s="685">
        <f>SUM(K42:K43)</f>
        <v>9136370</v>
      </c>
    </row>
    <row r="42" spans="1:11" s="803" customFormat="1" ht="12.75" customHeight="1">
      <c r="A42" s="821" t="s">
        <v>126</v>
      </c>
      <c r="B42" s="801"/>
      <c r="C42" s="1424" t="s">
        <v>912</v>
      </c>
      <c r="D42" s="1425"/>
      <c r="E42" s="944"/>
      <c r="F42" s="1426"/>
      <c r="G42" s="1426"/>
      <c r="H42" s="1426"/>
      <c r="I42" s="1426"/>
      <c r="J42" s="1426">
        <v>35979735</v>
      </c>
      <c r="K42" s="1426">
        <v>9130870</v>
      </c>
    </row>
    <row r="43" spans="1:11" s="803" customFormat="1" ht="12.75" customHeight="1">
      <c r="A43" s="821" t="s">
        <v>128</v>
      </c>
      <c r="B43" s="801"/>
      <c r="C43" s="1424" t="s">
        <v>913</v>
      </c>
      <c r="D43" s="1425"/>
      <c r="E43" s="944"/>
      <c r="F43" s="1426"/>
      <c r="G43" s="1426"/>
      <c r="H43" s="1426"/>
      <c r="I43" s="1426"/>
      <c r="J43" s="1426">
        <v>5500</v>
      </c>
      <c r="K43" s="1426">
        <v>5500</v>
      </c>
    </row>
    <row r="44" spans="1:11" s="376" customFormat="1" ht="12.75" customHeight="1">
      <c r="A44" s="828" t="s">
        <v>130</v>
      </c>
      <c r="B44" s="808" t="s">
        <v>726</v>
      </c>
      <c r="C44" s="1942" t="s">
        <v>870</v>
      </c>
      <c r="D44" s="1943"/>
      <c r="E44" s="946">
        <v>907000</v>
      </c>
      <c r="F44" s="829">
        <v>0</v>
      </c>
      <c r="G44" s="829">
        <v>200000</v>
      </c>
      <c r="H44" s="829">
        <v>685800</v>
      </c>
      <c r="I44" s="829">
        <v>685800</v>
      </c>
      <c r="J44" s="829">
        <f>SUM(J45:J46)</f>
        <v>1048138</v>
      </c>
      <c r="K44" s="829">
        <f>SUM(K45:K46)</f>
        <v>1320741</v>
      </c>
    </row>
    <row r="45" spans="1:11" s="803" customFormat="1" ht="24" customHeight="1">
      <c r="A45" s="1427" t="s">
        <v>131</v>
      </c>
      <c r="B45" s="1428"/>
      <c r="C45" s="1433" t="s">
        <v>914</v>
      </c>
      <c r="D45" s="1430"/>
      <c r="E45" s="1431"/>
      <c r="F45" s="1432"/>
      <c r="G45" s="1432">
        <v>200000</v>
      </c>
      <c r="H45" s="1432">
        <v>200000</v>
      </c>
      <c r="I45" s="1432">
        <v>200000</v>
      </c>
      <c r="J45" s="1432">
        <v>200000</v>
      </c>
      <c r="K45" s="1432">
        <v>215603</v>
      </c>
    </row>
    <row r="46" spans="1:11" s="803" customFormat="1" ht="12.75" customHeight="1">
      <c r="A46" s="1427" t="s">
        <v>133</v>
      </c>
      <c r="B46" s="1428"/>
      <c r="C46" s="1429" t="s">
        <v>915</v>
      </c>
      <c r="D46" s="1430"/>
      <c r="E46" s="1431"/>
      <c r="F46" s="1432"/>
      <c r="G46" s="1432"/>
      <c r="H46" s="1432">
        <v>485800</v>
      </c>
      <c r="I46" s="1432">
        <v>485800</v>
      </c>
      <c r="J46" s="1432">
        <v>848138</v>
      </c>
      <c r="K46" s="1432">
        <v>1105138</v>
      </c>
    </row>
    <row r="47" spans="1:11" s="376" customFormat="1" ht="12.75" customHeight="1" thickBot="1">
      <c r="A47" s="841" t="s">
        <v>135</v>
      </c>
      <c r="B47" s="842" t="s">
        <v>190</v>
      </c>
      <c r="C47" s="1959" t="s">
        <v>916</v>
      </c>
      <c r="D47" s="1960"/>
      <c r="E47" s="843">
        <v>1273000</v>
      </c>
      <c r="F47" s="844">
        <v>0</v>
      </c>
      <c r="G47" s="844">
        <v>0</v>
      </c>
      <c r="H47" s="844">
        <v>0</v>
      </c>
      <c r="I47" s="844">
        <v>0</v>
      </c>
      <c r="J47" s="844">
        <v>0</v>
      </c>
      <c r="K47" s="844">
        <v>0</v>
      </c>
    </row>
    <row r="48" spans="1:11" s="812" customFormat="1" ht="15.75" thickBot="1">
      <c r="A48" s="845" t="s">
        <v>137</v>
      </c>
      <c r="B48" s="846"/>
      <c r="C48" s="1971" t="s">
        <v>532</v>
      </c>
      <c r="D48" s="1972"/>
      <c r="E48" s="847">
        <f aca="true" t="shared" si="4" ref="E48:J48">SUM(E21+E25+E31+E40+E41+E44+E47)</f>
        <v>522491000</v>
      </c>
      <c r="F48" s="848">
        <f t="shared" si="4"/>
        <v>404989494</v>
      </c>
      <c r="G48" s="848">
        <f t="shared" si="4"/>
        <v>406669667</v>
      </c>
      <c r="H48" s="848">
        <f t="shared" si="4"/>
        <v>409719066</v>
      </c>
      <c r="I48" s="848">
        <f t="shared" si="4"/>
        <v>409719066</v>
      </c>
      <c r="J48" s="848">
        <f t="shared" si="4"/>
        <v>776924810</v>
      </c>
      <c r="K48" s="848">
        <f>SUM(K21+K25+K31+K40+K41+K44+K47)</f>
        <v>1111433129</v>
      </c>
    </row>
    <row r="49" spans="1:11" ht="12.75" customHeight="1">
      <c r="A49" s="1060" t="s">
        <v>139</v>
      </c>
      <c r="B49" s="1061"/>
      <c r="C49" s="1945" t="s">
        <v>727</v>
      </c>
      <c r="D49" s="1946"/>
      <c r="E49" s="1062">
        <v>80000000</v>
      </c>
      <c r="F49" s="1063">
        <v>0</v>
      </c>
      <c r="G49" s="1063">
        <v>0</v>
      </c>
      <c r="H49" s="1063">
        <v>0</v>
      </c>
      <c r="I49" s="1063">
        <v>0</v>
      </c>
      <c r="J49" s="1063">
        <v>0</v>
      </c>
      <c r="K49" s="1063">
        <v>0</v>
      </c>
    </row>
    <row r="50" spans="1:11" s="360" customFormat="1" ht="12.75" customHeight="1">
      <c r="A50" s="831" t="s">
        <v>141</v>
      </c>
      <c r="B50" s="813"/>
      <c r="C50" s="1961" t="s">
        <v>225</v>
      </c>
      <c r="D50" s="1962"/>
      <c r="E50" s="937">
        <v>51066000</v>
      </c>
      <c r="F50" s="1067">
        <f>SUM(F51:F52)</f>
        <v>45816229</v>
      </c>
      <c r="G50" s="1067">
        <v>46294271</v>
      </c>
      <c r="H50" s="1067">
        <v>46294271</v>
      </c>
      <c r="I50" s="1067">
        <v>46294271</v>
      </c>
      <c r="J50" s="1067">
        <v>46294271</v>
      </c>
      <c r="K50" s="1067">
        <v>46294271</v>
      </c>
    </row>
    <row r="51" spans="1:11" s="360" customFormat="1" ht="12.75" customHeight="1">
      <c r="A51" s="1064" t="s">
        <v>143</v>
      </c>
      <c r="B51" s="1052"/>
      <c r="C51" s="1950" t="s">
        <v>788</v>
      </c>
      <c r="D51" s="1950"/>
      <c r="E51" s="1053"/>
      <c r="F51" s="1065">
        <v>21037267</v>
      </c>
      <c r="G51" s="1065">
        <v>16745809</v>
      </c>
      <c r="H51" s="1065">
        <v>16745809</v>
      </c>
      <c r="I51" s="1065">
        <v>16745809</v>
      </c>
      <c r="J51" s="1065">
        <v>16745809</v>
      </c>
      <c r="K51" s="1065">
        <v>16745809</v>
      </c>
    </row>
    <row r="52" spans="1:11" s="360" customFormat="1" ht="12.75" customHeight="1">
      <c r="A52" s="1064" t="s">
        <v>145</v>
      </c>
      <c r="B52" s="1052"/>
      <c r="C52" s="1950" t="s">
        <v>789</v>
      </c>
      <c r="D52" s="1950"/>
      <c r="E52" s="1053"/>
      <c r="F52" s="1065">
        <v>24778962</v>
      </c>
      <c r="G52" s="1065">
        <v>29548462</v>
      </c>
      <c r="H52" s="1065">
        <v>29548462</v>
      </c>
      <c r="I52" s="1065">
        <v>29548462</v>
      </c>
      <c r="J52" s="1065">
        <v>29548462</v>
      </c>
      <c r="K52" s="1065">
        <v>29548462</v>
      </c>
    </row>
    <row r="53" spans="1:11" ht="12.75" customHeight="1">
      <c r="A53" s="1066" t="s">
        <v>147</v>
      </c>
      <c r="B53" s="1058"/>
      <c r="C53" s="1949" t="s">
        <v>228</v>
      </c>
      <c r="D53" s="1949"/>
      <c r="E53" s="1059">
        <v>4153000</v>
      </c>
      <c r="F53" s="1104">
        <v>6401277</v>
      </c>
      <c r="G53" s="1104">
        <v>7745538</v>
      </c>
      <c r="H53" s="1104">
        <v>8502671</v>
      </c>
      <c r="I53" s="1104">
        <v>8502671</v>
      </c>
      <c r="J53" s="1104">
        <v>9473678</v>
      </c>
      <c r="K53" s="1104">
        <v>10623632</v>
      </c>
    </row>
    <row r="54" spans="1:11" s="812" customFormat="1" ht="17.25" customHeight="1" thickBot="1">
      <c r="A54" s="1054" t="s">
        <v>149</v>
      </c>
      <c r="B54" s="1055"/>
      <c r="C54" s="1980" t="s">
        <v>917</v>
      </c>
      <c r="D54" s="1981"/>
      <c r="E54" s="1056">
        <f>SUM(E49:E53)</f>
        <v>135219000</v>
      </c>
      <c r="F54" s="1057">
        <f aca="true" t="shared" si="5" ref="F54:K54">SUM(F50+F53)</f>
        <v>52217506</v>
      </c>
      <c r="G54" s="1057">
        <f t="shared" si="5"/>
        <v>54039809</v>
      </c>
      <c r="H54" s="1057">
        <f t="shared" si="5"/>
        <v>54796942</v>
      </c>
      <c r="I54" s="1057">
        <f t="shared" si="5"/>
        <v>54796942</v>
      </c>
      <c r="J54" s="1057">
        <f t="shared" si="5"/>
        <v>55767949</v>
      </c>
      <c r="K54" s="1057">
        <f t="shared" si="5"/>
        <v>56917903</v>
      </c>
    </row>
    <row r="55" spans="1:11" s="814" customFormat="1" ht="16.5" customHeight="1" thickBot="1">
      <c r="A55" s="850" t="s">
        <v>151</v>
      </c>
      <c r="B55" s="832"/>
      <c r="C55" s="833" t="s">
        <v>116</v>
      </c>
      <c r="D55" s="834"/>
      <c r="E55" s="835">
        <f aca="true" t="shared" si="6" ref="E55:J55">SUM(E48+E54)</f>
        <v>657710000</v>
      </c>
      <c r="F55" s="836">
        <f t="shared" si="6"/>
        <v>457207000</v>
      </c>
      <c r="G55" s="836">
        <f t="shared" si="6"/>
        <v>460709476</v>
      </c>
      <c r="H55" s="836">
        <f t="shared" si="6"/>
        <v>464516008</v>
      </c>
      <c r="I55" s="836">
        <f t="shared" si="6"/>
        <v>464516008</v>
      </c>
      <c r="J55" s="836">
        <f t="shared" si="6"/>
        <v>832692759</v>
      </c>
      <c r="K55" s="836">
        <f>SUM(K48+K54)</f>
        <v>1168351032</v>
      </c>
    </row>
    <row r="56" spans="1:11" ht="12.75" customHeight="1">
      <c r="A56" s="3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</row>
    <row r="57" spans="1:11" ht="33.75" customHeight="1">
      <c r="A57" s="1937" t="s">
        <v>156</v>
      </c>
      <c r="B57" s="1937"/>
      <c r="C57" s="1194" t="s">
        <v>256</v>
      </c>
      <c r="D57" s="1195" t="s">
        <v>547</v>
      </c>
      <c r="E57" s="1195" t="s">
        <v>158</v>
      </c>
      <c r="F57" s="1195" t="s">
        <v>159</v>
      </c>
      <c r="G57" s="1195" t="s">
        <v>793</v>
      </c>
      <c r="H57" s="1195" t="s">
        <v>803</v>
      </c>
      <c r="I57" s="1195" t="s">
        <v>885</v>
      </c>
      <c r="J57" s="1195" t="s">
        <v>891</v>
      </c>
      <c r="K57" s="1195" t="s">
        <v>947</v>
      </c>
    </row>
    <row r="58" spans="1:11" ht="19.5" customHeight="1">
      <c r="A58" s="1938" t="s">
        <v>161</v>
      </c>
      <c r="B58" s="1938"/>
      <c r="C58" s="1193" t="s">
        <v>162</v>
      </c>
      <c r="D58" s="1193" t="s">
        <v>163</v>
      </c>
      <c r="E58" s="1193" t="s">
        <v>164</v>
      </c>
      <c r="F58" s="1193" t="s">
        <v>505</v>
      </c>
      <c r="G58" s="1193" t="s">
        <v>525</v>
      </c>
      <c r="H58" s="1193" t="s">
        <v>804</v>
      </c>
      <c r="I58" s="1193" t="s">
        <v>890</v>
      </c>
      <c r="J58" s="1193" t="s">
        <v>895</v>
      </c>
      <c r="K58" s="1193" t="s">
        <v>950</v>
      </c>
    </row>
    <row r="59" spans="1:11" ht="12.75" customHeight="1">
      <c r="A59" s="361" t="s">
        <v>38</v>
      </c>
      <c r="B59" s="362" t="s">
        <v>167</v>
      </c>
      <c r="C59" s="363" t="s">
        <v>567</v>
      </c>
      <c r="D59" s="363"/>
      <c r="E59" s="363">
        <f aca="true" t="shared" si="7" ref="E59:K59">SUM(E60)</f>
        <v>673000</v>
      </c>
      <c r="F59" s="363">
        <f t="shared" si="7"/>
        <v>673000</v>
      </c>
      <c r="G59" s="363">
        <f t="shared" si="7"/>
        <v>673000</v>
      </c>
      <c r="H59" s="363">
        <f t="shared" si="7"/>
        <v>673000</v>
      </c>
      <c r="I59" s="363">
        <f t="shared" si="7"/>
        <v>673000</v>
      </c>
      <c r="J59" s="363">
        <f t="shared" si="7"/>
        <v>673000</v>
      </c>
      <c r="K59" s="363">
        <f t="shared" si="7"/>
        <v>673000</v>
      </c>
    </row>
    <row r="60" spans="1:11" ht="12.75" customHeight="1">
      <c r="A60" s="364" t="s">
        <v>40</v>
      </c>
      <c r="B60" s="365"/>
      <c r="C60" s="366" t="s">
        <v>261</v>
      </c>
      <c r="D60" s="366"/>
      <c r="E60" s="366">
        <v>673000</v>
      </c>
      <c r="F60" s="366">
        <v>673000</v>
      </c>
      <c r="G60" s="366">
        <v>673000</v>
      </c>
      <c r="H60" s="366">
        <v>673000</v>
      </c>
      <c r="I60" s="366">
        <v>673000</v>
      </c>
      <c r="J60" s="366">
        <v>673000</v>
      </c>
      <c r="K60" s="366">
        <v>673000</v>
      </c>
    </row>
    <row r="61" spans="1:11" ht="12.75" customHeight="1">
      <c r="A61" s="367" t="s">
        <v>47</v>
      </c>
      <c r="B61" s="368" t="s">
        <v>169</v>
      </c>
      <c r="C61" s="369" t="s">
        <v>262</v>
      </c>
      <c r="D61" s="369"/>
      <c r="E61" s="369">
        <f>SUM(E62)</f>
        <v>551000</v>
      </c>
      <c r="F61" s="369">
        <v>551000</v>
      </c>
      <c r="G61" s="369">
        <v>551000</v>
      </c>
      <c r="H61" s="369">
        <v>551000</v>
      </c>
      <c r="I61" s="369">
        <v>551000</v>
      </c>
      <c r="J61" s="369">
        <v>551000</v>
      </c>
      <c r="K61" s="369">
        <v>551000</v>
      </c>
    </row>
    <row r="62" spans="1:11" ht="12.75" customHeight="1">
      <c r="A62" s="364" t="s">
        <v>49</v>
      </c>
      <c r="B62" s="365"/>
      <c r="C62" s="366" t="s">
        <v>261</v>
      </c>
      <c r="D62" s="366"/>
      <c r="E62" s="366">
        <v>551000</v>
      </c>
      <c r="F62" s="366">
        <v>551000</v>
      </c>
      <c r="G62" s="366">
        <v>551000</v>
      </c>
      <c r="H62" s="366">
        <v>551000</v>
      </c>
      <c r="I62" s="366">
        <v>551000</v>
      </c>
      <c r="J62" s="366">
        <v>551000</v>
      </c>
      <c r="K62" s="366">
        <v>551000</v>
      </c>
    </row>
    <row r="63" spans="1:11" ht="12.75" customHeight="1">
      <c r="A63" s="364" t="s">
        <v>51</v>
      </c>
      <c r="B63" s="365"/>
      <c r="C63" s="366" t="s">
        <v>263</v>
      </c>
      <c r="D63" s="366"/>
      <c r="E63" s="366"/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</row>
    <row r="64" spans="1:11" ht="12.75" customHeight="1">
      <c r="A64" s="367" t="s">
        <v>53</v>
      </c>
      <c r="B64" s="368" t="s">
        <v>186</v>
      </c>
      <c r="C64" s="369" t="s">
        <v>568</v>
      </c>
      <c r="D64" s="369"/>
      <c r="E64" s="369">
        <f>SUM(E65)</f>
        <v>8200000</v>
      </c>
      <c r="F64" s="369">
        <v>7000000</v>
      </c>
      <c r="G64" s="369">
        <v>7000000</v>
      </c>
      <c r="H64" s="369">
        <v>7000000</v>
      </c>
      <c r="I64" s="369">
        <v>7000000</v>
      </c>
      <c r="J64" s="369">
        <v>7000000</v>
      </c>
      <c r="K64" s="369">
        <v>7000000</v>
      </c>
    </row>
    <row r="65" spans="1:11" ht="12.75" customHeight="1">
      <c r="A65" s="364" t="s">
        <v>55</v>
      </c>
      <c r="B65" s="365"/>
      <c r="C65" s="366" t="s">
        <v>261</v>
      </c>
      <c r="D65" s="366"/>
      <c r="E65" s="366">
        <v>8200000</v>
      </c>
      <c r="F65" s="366">
        <v>7000000</v>
      </c>
      <c r="G65" s="366">
        <v>7000000</v>
      </c>
      <c r="H65" s="366">
        <v>7000000</v>
      </c>
      <c r="I65" s="366">
        <v>7000000</v>
      </c>
      <c r="J65" s="366">
        <v>7000000</v>
      </c>
      <c r="K65" s="366">
        <v>7000000</v>
      </c>
    </row>
    <row r="66" spans="1:11" ht="12.75" customHeight="1">
      <c r="A66" s="367" t="s">
        <v>57</v>
      </c>
      <c r="B66" s="368" t="s">
        <v>187</v>
      </c>
      <c r="C66" s="369" t="s">
        <v>268</v>
      </c>
      <c r="D66" s="369"/>
      <c r="E66" s="369">
        <f>SUM(E67)</f>
        <v>130000</v>
      </c>
      <c r="F66" s="369">
        <v>100000</v>
      </c>
      <c r="G66" s="369">
        <v>100000</v>
      </c>
      <c r="H66" s="369">
        <v>100000</v>
      </c>
      <c r="I66" s="369">
        <v>100000</v>
      </c>
      <c r="J66" s="369">
        <v>100000</v>
      </c>
      <c r="K66" s="369">
        <v>100000</v>
      </c>
    </row>
    <row r="67" spans="1:11" ht="12.75" customHeight="1">
      <c r="A67" s="364" t="s">
        <v>86</v>
      </c>
      <c r="B67" s="365"/>
      <c r="C67" s="366" t="s">
        <v>261</v>
      </c>
      <c r="D67" s="366"/>
      <c r="E67" s="366">
        <v>130000</v>
      </c>
      <c r="F67" s="366">
        <v>100000</v>
      </c>
      <c r="G67" s="366">
        <v>100000</v>
      </c>
      <c r="H67" s="366">
        <v>100000</v>
      </c>
      <c r="I67" s="366">
        <v>100000</v>
      </c>
      <c r="J67" s="366">
        <v>100000</v>
      </c>
      <c r="K67" s="366">
        <v>100000</v>
      </c>
    </row>
    <row r="68" spans="1:11" ht="12.75" customHeight="1">
      <c r="A68" s="367" t="s">
        <v>59</v>
      </c>
      <c r="B68" s="368" t="s">
        <v>190</v>
      </c>
      <c r="C68" s="369" t="s">
        <v>269</v>
      </c>
      <c r="D68" s="369">
        <v>3</v>
      </c>
      <c r="E68" s="369">
        <f aca="true" t="shared" si="8" ref="E68:J68">SUM(E69:E73)</f>
        <v>35014000</v>
      </c>
      <c r="F68" s="369">
        <f t="shared" si="8"/>
        <v>9368000</v>
      </c>
      <c r="G68" s="369">
        <f t="shared" si="8"/>
        <v>9702000</v>
      </c>
      <c r="H68" s="369">
        <f t="shared" si="8"/>
        <v>9702000</v>
      </c>
      <c r="I68" s="369">
        <f t="shared" si="8"/>
        <v>9702000</v>
      </c>
      <c r="J68" s="369">
        <f t="shared" si="8"/>
        <v>9748848</v>
      </c>
      <c r="K68" s="369">
        <f>SUM(K69:K73)</f>
        <v>10005000</v>
      </c>
    </row>
    <row r="69" spans="1:11" ht="12.75" customHeight="1">
      <c r="A69" s="364" t="s">
        <v>61</v>
      </c>
      <c r="B69" s="365"/>
      <c r="C69" s="366" t="s">
        <v>264</v>
      </c>
      <c r="D69" s="366"/>
      <c r="E69" s="366">
        <v>23185000</v>
      </c>
      <c r="F69" s="949">
        <v>5197000</v>
      </c>
      <c r="G69" s="949">
        <v>5197000</v>
      </c>
      <c r="H69" s="949">
        <v>5197000</v>
      </c>
      <c r="I69" s="949">
        <v>5197000</v>
      </c>
      <c r="J69" s="949">
        <v>5197000</v>
      </c>
      <c r="K69" s="949">
        <v>5197000</v>
      </c>
    </row>
    <row r="70" spans="1:11" ht="12.75" customHeight="1">
      <c r="A70" s="364" t="s">
        <v>63</v>
      </c>
      <c r="B70" s="365"/>
      <c r="C70" s="366" t="s">
        <v>265</v>
      </c>
      <c r="D70" s="366"/>
      <c r="E70" s="366">
        <v>6329000</v>
      </c>
      <c r="F70" s="371">
        <v>1168000</v>
      </c>
      <c r="G70" s="371">
        <v>1168000</v>
      </c>
      <c r="H70" s="371">
        <v>1168000</v>
      </c>
      <c r="I70" s="371">
        <v>1168000</v>
      </c>
      <c r="J70" s="371">
        <v>1168000</v>
      </c>
      <c r="K70" s="371">
        <v>1168000</v>
      </c>
    </row>
    <row r="71" spans="1:11" ht="12.75" customHeight="1">
      <c r="A71" s="364" t="s">
        <v>65</v>
      </c>
      <c r="B71" s="372"/>
      <c r="C71" s="370" t="s">
        <v>266</v>
      </c>
      <c r="D71" s="370"/>
      <c r="E71" s="366">
        <v>4000000</v>
      </c>
      <c r="F71" s="366">
        <v>1000000</v>
      </c>
      <c r="G71" s="366">
        <v>1000000</v>
      </c>
      <c r="H71" s="366">
        <v>1000000</v>
      </c>
      <c r="I71" s="366">
        <v>1000000</v>
      </c>
      <c r="J71" s="366">
        <v>1000000</v>
      </c>
      <c r="K71" s="366">
        <v>1000000</v>
      </c>
    </row>
    <row r="72" spans="1:11" ht="12.75" customHeight="1">
      <c r="A72" s="364" t="s">
        <v>92</v>
      </c>
      <c r="B72" s="372"/>
      <c r="C72" s="370" t="s">
        <v>728</v>
      </c>
      <c r="D72" s="370"/>
      <c r="E72" s="366">
        <v>1500000</v>
      </c>
      <c r="F72" s="366">
        <v>2003000</v>
      </c>
      <c r="G72" s="366">
        <v>2337000</v>
      </c>
      <c r="H72" s="366">
        <v>2337000</v>
      </c>
      <c r="I72" s="366">
        <v>2337000</v>
      </c>
      <c r="J72" s="366">
        <v>2383848</v>
      </c>
      <c r="K72" s="366">
        <v>2640000</v>
      </c>
    </row>
    <row r="73" spans="1:11" ht="12.75" customHeight="1">
      <c r="A73" s="364" t="s">
        <v>66</v>
      </c>
      <c r="B73" s="372"/>
      <c r="C73" s="370" t="s">
        <v>698</v>
      </c>
      <c r="D73" s="370"/>
      <c r="E73" s="366"/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</row>
    <row r="74" spans="1:11" ht="12.75" customHeight="1">
      <c r="A74" s="367" t="s">
        <v>67</v>
      </c>
      <c r="B74" s="373" t="s">
        <v>569</v>
      </c>
      <c r="C74" s="369" t="s">
        <v>271</v>
      </c>
      <c r="D74" s="369"/>
      <c r="E74" s="369">
        <f>SUM(E75:E77)</f>
        <v>0</v>
      </c>
      <c r="F74" s="369">
        <f aca="true" t="shared" si="9" ref="F74:K74">SUM(F76:F77)</f>
        <v>200000</v>
      </c>
      <c r="G74" s="369">
        <f t="shared" si="9"/>
        <v>200000</v>
      </c>
      <c r="H74" s="369">
        <f t="shared" si="9"/>
        <v>200000</v>
      </c>
      <c r="I74" s="369">
        <f t="shared" si="9"/>
        <v>200000</v>
      </c>
      <c r="J74" s="369">
        <f t="shared" si="9"/>
        <v>200000</v>
      </c>
      <c r="K74" s="369">
        <f t="shared" si="9"/>
        <v>200000</v>
      </c>
    </row>
    <row r="75" spans="1:11" ht="12.75" customHeight="1">
      <c r="A75" s="364" t="s">
        <v>68</v>
      </c>
      <c r="B75" s="372"/>
      <c r="C75" s="366" t="s">
        <v>272</v>
      </c>
      <c r="D75" s="366"/>
      <c r="E75" s="366"/>
      <c r="F75" s="366"/>
      <c r="G75" s="366"/>
      <c r="H75" s="366"/>
      <c r="I75" s="366"/>
      <c r="J75" s="366"/>
      <c r="K75" s="366"/>
    </row>
    <row r="76" spans="1:11" ht="12.75" customHeight="1">
      <c r="A76" s="364" t="s">
        <v>70</v>
      </c>
      <c r="B76" s="372"/>
      <c r="C76" s="366" t="s">
        <v>263</v>
      </c>
      <c r="D76" s="366"/>
      <c r="E76" s="366"/>
      <c r="F76" s="366">
        <v>0</v>
      </c>
      <c r="G76" s="366">
        <v>0</v>
      </c>
      <c r="H76" s="366">
        <v>0</v>
      </c>
      <c r="I76" s="366">
        <v>0</v>
      </c>
      <c r="J76" s="366">
        <v>0</v>
      </c>
      <c r="K76" s="366">
        <v>0</v>
      </c>
    </row>
    <row r="77" spans="1:11" ht="12.75" customHeight="1">
      <c r="A77" s="364" t="s">
        <v>97</v>
      </c>
      <c r="B77" s="372"/>
      <c r="C77" s="366" t="s">
        <v>266</v>
      </c>
      <c r="D77" s="366"/>
      <c r="E77" s="366"/>
      <c r="F77" s="366">
        <v>200000</v>
      </c>
      <c r="G77" s="366">
        <v>200000</v>
      </c>
      <c r="H77" s="366">
        <v>200000</v>
      </c>
      <c r="I77" s="366">
        <v>200000</v>
      </c>
      <c r="J77" s="366">
        <v>200000</v>
      </c>
      <c r="K77" s="366">
        <v>200000</v>
      </c>
    </row>
    <row r="78" spans="1:11" ht="12.75" customHeight="1">
      <c r="A78" s="367" t="s">
        <v>99</v>
      </c>
      <c r="B78" s="373" t="s">
        <v>570</v>
      </c>
      <c r="C78" s="369" t="s">
        <v>571</v>
      </c>
      <c r="D78" s="369"/>
      <c r="E78" s="369">
        <f>SUM(E79:E81)</f>
        <v>236000</v>
      </c>
      <c r="F78" s="369">
        <v>0</v>
      </c>
      <c r="G78" s="369">
        <v>0</v>
      </c>
      <c r="H78" s="369">
        <v>0</v>
      </c>
      <c r="I78" s="369">
        <v>0</v>
      </c>
      <c r="J78" s="369">
        <v>0</v>
      </c>
      <c r="K78" s="369">
        <v>0</v>
      </c>
    </row>
    <row r="79" spans="1:11" ht="12.75" customHeight="1">
      <c r="A79" s="364" t="s">
        <v>101</v>
      </c>
      <c r="B79" s="372"/>
      <c r="C79" s="366" t="s">
        <v>264</v>
      </c>
      <c r="D79" s="366"/>
      <c r="E79" s="366">
        <v>185000</v>
      </c>
      <c r="F79" s="366"/>
      <c r="G79" s="366"/>
      <c r="H79" s="366"/>
      <c r="I79" s="366"/>
      <c r="J79" s="366"/>
      <c r="K79" s="366"/>
    </row>
    <row r="80" spans="1:11" ht="12.75" customHeight="1">
      <c r="A80" s="364" t="s">
        <v>103</v>
      </c>
      <c r="B80" s="372"/>
      <c r="C80" s="366" t="s">
        <v>265</v>
      </c>
      <c r="D80" s="366"/>
      <c r="E80" s="366">
        <v>51000</v>
      </c>
      <c r="F80" s="366"/>
      <c r="G80" s="366"/>
      <c r="H80" s="366"/>
      <c r="I80" s="366"/>
      <c r="J80" s="366"/>
      <c r="K80" s="366"/>
    </row>
    <row r="81" spans="1:11" ht="12.75" customHeight="1">
      <c r="A81" s="364" t="s">
        <v>105</v>
      </c>
      <c r="B81" s="372"/>
      <c r="C81" s="366" t="s">
        <v>270</v>
      </c>
      <c r="D81" s="366"/>
      <c r="E81" s="366"/>
      <c r="F81" s="366"/>
      <c r="G81" s="366"/>
      <c r="H81" s="366"/>
      <c r="I81" s="366"/>
      <c r="J81" s="366"/>
      <c r="K81" s="366"/>
    </row>
    <row r="82" spans="1:11" ht="12.75" customHeight="1">
      <c r="A82" s="367" t="s">
        <v>107</v>
      </c>
      <c r="B82" s="373" t="s">
        <v>199</v>
      </c>
      <c r="C82" s="369" t="s">
        <v>275</v>
      </c>
      <c r="D82" s="369"/>
      <c r="E82" s="369">
        <f aca="true" t="shared" si="10" ref="E82:K82">SUM(E83)</f>
        <v>34172000</v>
      </c>
      <c r="F82" s="369">
        <f t="shared" si="10"/>
        <v>26607089</v>
      </c>
      <c r="G82" s="369">
        <f t="shared" si="10"/>
        <v>29179089</v>
      </c>
      <c r="H82" s="369">
        <f t="shared" si="10"/>
        <v>31652291</v>
      </c>
      <c r="I82" s="369">
        <f t="shared" si="10"/>
        <v>31652291</v>
      </c>
      <c r="J82" s="369">
        <f t="shared" si="10"/>
        <v>33372000</v>
      </c>
      <c r="K82" s="369">
        <f t="shared" si="10"/>
        <v>31343308</v>
      </c>
    </row>
    <row r="83" spans="1:11" ht="30.75" customHeight="1">
      <c r="A83" s="364" t="s">
        <v>109</v>
      </c>
      <c r="B83" s="372"/>
      <c r="C83" s="852" t="s">
        <v>733</v>
      </c>
      <c r="D83" s="366"/>
      <c r="E83" s="366">
        <f aca="true" t="shared" si="11" ref="E83:J83">SUM(E84:E87)</f>
        <v>34172000</v>
      </c>
      <c r="F83" s="366">
        <f t="shared" si="11"/>
        <v>26607089</v>
      </c>
      <c r="G83" s="366">
        <f t="shared" si="11"/>
        <v>29179089</v>
      </c>
      <c r="H83" s="366">
        <f t="shared" si="11"/>
        <v>31652291</v>
      </c>
      <c r="I83" s="366">
        <f t="shared" si="11"/>
        <v>31652291</v>
      </c>
      <c r="J83" s="366">
        <f t="shared" si="11"/>
        <v>33372000</v>
      </c>
      <c r="K83" s="366">
        <f>SUM(K84:K87)</f>
        <v>31343308</v>
      </c>
    </row>
    <row r="84" spans="1:11" s="803" customFormat="1" ht="30.75" customHeight="1">
      <c r="A84" s="860" t="s">
        <v>111</v>
      </c>
      <c r="B84" s="861"/>
      <c r="C84" s="863" t="s">
        <v>732</v>
      </c>
      <c r="D84" s="862"/>
      <c r="E84" s="862">
        <v>7272000</v>
      </c>
      <c r="F84" s="862">
        <f>SUM('6. 7.8. M  '!E51)</f>
        <v>7272000</v>
      </c>
      <c r="G84" s="862">
        <f>SUM('6. 7.8. M  '!F51)</f>
        <v>9844000</v>
      </c>
      <c r="H84" s="862">
        <f>SUM('6. 7.8. M  '!G51)</f>
        <v>9844000</v>
      </c>
      <c r="I84" s="862">
        <f>SUM('6. 7.8. M  '!H51)</f>
        <v>9844000</v>
      </c>
      <c r="J84" s="862">
        <f>SUM('6. 7.8. M  '!I51)</f>
        <v>9844000</v>
      </c>
      <c r="K84" s="862">
        <v>6283632</v>
      </c>
    </row>
    <row r="85" spans="1:11" s="803" customFormat="1" ht="32.25" customHeight="1">
      <c r="A85" s="860" t="s">
        <v>113</v>
      </c>
      <c r="B85" s="861"/>
      <c r="C85" s="863" t="s">
        <v>734</v>
      </c>
      <c r="D85" s="862"/>
      <c r="E85" s="862">
        <v>23000000</v>
      </c>
      <c r="F85" s="947">
        <f>SUM('6. 7.8. M  '!E53)</f>
        <v>16435089</v>
      </c>
      <c r="G85" s="947">
        <f>SUM('6. 7.8. M  '!F53)</f>
        <v>16435089</v>
      </c>
      <c r="H85" s="947">
        <v>18558291</v>
      </c>
      <c r="I85" s="947">
        <v>18558291</v>
      </c>
      <c r="J85" s="947">
        <v>20278000</v>
      </c>
      <c r="K85" s="947">
        <v>22651608</v>
      </c>
    </row>
    <row r="86" spans="1:11" s="803" customFormat="1" ht="12.75" customHeight="1">
      <c r="A86" s="860" t="s">
        <v>115</v>
      </c>
      <c r="B86" s="861"/>
      <c r="C86" s="864" t="s">
        <v>735</v>
      </c>
      <c r="D86" s="862"/>
      <c r="E86" s="862">
        <v>3000000</v>
      </c>
      <c r="F86" s="862">
        <f>SUM('6. 7.8. M  '!E56)</f>
        <v>2000000</v>
      </c>
      <c r="G86" s="862">
        <f>SUM('6. 7.8. M  '!F56)</f>
        <v>2000000</v>
      </c>
      <c r="H86" s="862">
        <f>SUM('6. 7.8. M  '!G56)</f>
        <v>2350000</v>
      </c>
      <c r="I86" s="862">
        <f>SUM('6. 7.8. M  '!H56)</f>
        <v>2350000</v>
      </c>
      <c r="J86" s="862">
        <f>SUM('6. 7.8. M  '!I56)</f>
        <v>2350000</v>
      </c>
      <c r="K86" s="862">
        <v>2360424</v>
      </c>
    </row>
    <row r="87" spans="1:11" s="803" customFormat="1" ht="12.75" customHeight="1">
      <c r="A87" s="860" t="s">
        <v>117</v>
      </c>
      <c r="B87" s="861"/>
      <c r="C87" s="864" t="s">
        <v>277</v>
      </c>
      <c r="D87" s="862"/>
      <c r="E87" s="862">
        <v>900000</v>
      </c>
      <c r="F87" s="862">
        <f>SUM('6. 7.8. M  '!E57)</f>
        <v>900000</v>
      </c>
      <c r="G87" s="862">
        <f>SUM('6. 7.8. M  '!F57)</f>
        <v>900000</v>
      </c>
      <c r="H87" s="862">
        <f>SUM('6. 7.8. M  '!G57)</f>
        <v>900000</v>
      </c>
      <c r="I87" s="862">
        <f>SUM('6. 7.8. M  '!H57)</f>
        <v>900000</v>
      </c>
      <c r="J87" s="862">
        <f>SUM('6. 7.8. M  '!I57)</f>
        <v>900000</v>
      </c>
      <c r="K87" s="862">
        <v>47644</v>
      </c>
    </row>
    <row r="88" spans="1:11" ht="12.75" customHeight="1">
      <c r="A88" s="364" t="s">
        <v>118</v>
      </c>
      <c r="B88" s="372"/>
      <c r="C88" s="366" t="s">
        <v>572</v>
      </c>
      <c r="D88" s="366"/>
      <c r="E88" s="366"/>
      <c r="F88" s="366">
        <v>0</v>
      </c>
      <c r="G88" s="366">
        <v>0</v>
      </c>
      <c r="H88" s="366">
        <v>0</v>
      </c>
      <c r="I88" s="366">
        <v>0</v>
      </c>
      <c r="J88" s="366">
        <v>0</v>
      </c>
      <c r="K88" s="366">
        <v>0</v>
      </c>
    </row>
    <row r="89" spans="1:11" ht="12.75" customHeight="1">
      <c r="A89" s="367" t="s">
        <v>120</v>
      </c>
      <c r="B89" s="373" t="s">
        <v>236</v>
      </c>
      <c r="C89" s="369" t="s">
        <v>278</v>
      </c>
      <c r="D89" s="369"/>
      <c r="E89" s="369">
        <f>SUM(E91+E92+E96+E97)</f>
        <v>3274000</v>
      </c>
      <c r="F89" s="369">
        <f>SUM(F91+F92+F96+F97)</f>
        <v>3200000</v>
      </c>
      <c r="G89" s="369">
        <f>SUM(G91+G92+G96+G97)</f>
        <v>3200000</v>
      </c>
      <c r="H89" s="369">
        <f>SUM(H91+H92+H96+H97)</f>
        <v>3200000</v>
      </c>
      <c r="I89" s="369">
        <f>SUM(I91+I92+I96+I97)</f>
        <v>3200000</v>
      </c>
      <c r="J89" s="369">
        <v>3071000</v>
      </c>
      <c r="K89" s="369">
        <f>SUM(K90+K97)</f>
        <v>4659500</v>
      </c>
    </row>
    <row r="90" spans="1:11" ht="12.75" customHeight="1">
      <c r="A90" s="364" t="s">
        <v>122</v>
      </c>
      <c r="B90" s="372"/>
      <c r="C90" s="366" t="s">
        <v>918</v>
      </c>
      <c r="D90" s="366"/>
      <c r="E90" s="366">
        <v>0</v>
      </c>
      <c r="F90" s="366">
        <v>0</v>
      </c>
      <c r="G90" s="366">
        <v>0</v>
      </c>
      <c r="H90" s="366">
        <v>0</v>
      </c>
      <c r="I90" s="366">
        <v>0</v>
      </c>
      <c r="J90" s="366">
        <v>71000</v>
      </c>
      <c r="K90" s="366">
        <v>71000</v>
      </c>
    </row>
    <row r="91" spans="1:11" ht="12.75" customHeight="1">
      <c r="A91" s="364" t="s">
        <v>124</v>
      </c>
      <c r="B91" s="372"/>
      <c r="C91" s="853" t="s">
        <v>680</v>
      </c>
      <c r="D91" s="366"/>
      <c r="E91" s="366"/>
      <c r="F91" s="366">
        <v>0</v>
      </c>
      <c r="G91" s="366">
        <v>0</v>
      </c>
      <c r="H91" s="366">
        <v>0</v>
      </c>
      <c r="I91" s="366">
        <v>0</v>
      </c>
      <c r="J91" s="366">
        <v>0</v>
      </c>
      <c r="K91" s="366">
        <v>0</v>
      </c>
    </row>
    <row r="92" spans="1:11" ht="12.75" customHeight="1">
      <c r="A92" s="364" t="s">
        <v>126</v>
      </c>
      <c r="B92" s="372"/>
      <c r="C92" s="250" t="s">
        <v>729</v>
      </c>
      <c r="D92" s="366"/>
      <c r="E92" s="366">
        <v>1500000</v>
      </c>
      <c r="F92" s="867">
        <f>SUM(F93:F95)</f>
        <v>1500000</v>
      </c>
      <c r="G92" s="867">
        <f>SUM(G93:G95)</f>
        <v>1500000</v>
      </c>
      <c r="H92" s="867">
        <f>SUM(H93:H95)</f>
        <v>1500000</v>
      </c>
      <c r="I92" s="867">
        <f>SUM(I93:I95)</f>
        <v>1500000</v>
      </c>
      <c r="J92" s="867">
        <v>0</v>
      </c>
      <c r="K92" s="867">
        <v>0</v>
      </c>
    </row>
    <row r="93" spans="1:11" ht="24.75" customHeight="1">
      <c r="A93" s="364" t="s">
        <v>128</v>
      </c>
      <c r="B93" s="372"/>
      <c r="C93" s="854" t="s">
        <v>681</v>
      </c>
      <c r="D93" s="366"/>
      <c r="E93" s="366"/>
      <c r="F93" s="867"/>
      <c r="G93" s="867"/>
      <c r="H93" s="867"/>
      <c r="I93" s="867"/>
      <c r="J93" s="867"/>
      <c r="K93" s="867"/>
    </row>
    <row r="94" spans="1:11" ht="15.75" customHeight="1">
      <c r="A94" s="364" t="s">
        <v>130</v>
      </c>
      <c r="B94" s="372"/>
      <c r="C94" s="854" t="s">
        <v>683</v>
      </c>
      <c r="D94" s="366"/>
      <c r="E94" s="366"/>
      <c r="F94" s="867"/>
      <c r="G94" s="867"/>
      <c r="H94" s="867"/>
      <c r="I94" s="867"/>
      <c r="J94" s="867"/>
      <c r="K94" s="867"/>
    </row>
    <row r="95" spans="1:11" ht="12.75" customHeight="1">
      <c r="A95" s="364" t="s">
        <v>131</v>
      </c>
      <c r="B95" s="372"/>
      <c r="C95" s="854" t="s">
        <v>682</v>
      </c>
      <c r="D95" s="366"/>
      <c r="E95" s="366">
        <v>1500000</v>
      </c>
      <c r="F95" s="867">
        <v>1500000</v>
      </c>
      <c r="G95" s="867">
        <v>1500000</v>
      </c>
      <c r="H95" s="867">
        <v>1500000</v>
      </c>
      <c r="I95" s="867">
        <v>1500000</v>
      </c>
      <c r="J95" s="867">
        <v>0</v>
      </c>
      <c r="K95" s="867">
        <v>0</v>
      </c>
    </row>
    <row r="96" spans="1:11" ht="12.75" customHeight="1">
      <c r="A96" s="364" t="s">
        <v>133</v>
      </c>
      <c r="B96" s="372"/>
      <c r="C96" s="250" t="s">
        <v>684</v>
      </c>
      <c r="D96" s="366"/>
      <c r="E96" s="366"/>
      <c r="F96" s="867"/>
      <c r="G96" s="867"/>
      <c r="H96" s="867"/>
      <c r="I96" s="867"/>
      <c r="J96" s="867"/>
      <c r="K96" s="867"/>
    </row>
    <row r="97" spans="1:11" ht="12.75" customHeight="1">
      <c r="A97" s="364" t="s">
        <v>135</v>
      </c>
      <c r="B97" s="372"/>
      <c r="C97" s="250" t="s">
        <v>685</v>
      </c>
      <c r="D97" s="366"/>
      <c r="E97" s="867">
        <f>SUM(E98:E102)</f>
        <v>1774000</v>
      </c>
      <c r="F97" s="867">
        <f>SUM(F98:F102)</f>
        <v>1700000</v>
      </c>
      <c r="G97" s="867">
        <f>SUM(G98:G102)</f>
        <v>1700000</v>
      </c>
      <c r="H97" s="867">
        <f>SUM(H98:H102)</f>
        <v>1700000</v>
      </c>
      <c r="I97" s="867">
        <f>SUM(I98:I102)</f>
        <v>1700000</v>
      </c>
      <c r="J97" s="867">
        <v>3000000</v>
      </c>
      <c r="K97" s="867">
        <f>SUM(K98:K102)</f>
        <v>4588500</v>
      </c>
    </row>
    <row r="98" spans="1:11" ht="27" customHeight="1">
      <c r="A98" s="364" t="s">
        <v>137</v>
      </c>
      <c r="B98" s="372"/>
      <c r="C98" s="854" t="s">
        <v>686</v>
      </c>
      <c r="D98" s="366"/>
      <c r="E98" s="366">
        <f>SUM(400000)+120000</f>
        <v>520000</v>
      </c>
      <c r="F98" s="867">
        <v>540000</v>
      </c>
      <c r="G98" s="867">
        <v>540000</v>
      </c>
      <c r="H98" s="867">
        <v>540000</v>
      </c>
      <c r="I98" s="867">
        <v>540000</v>
      </c>
      <c r="J98" s="867">
        <v>1320000</v>
      </c>
      <c r="K98" s="867">
        <v>502500</v>
      </c>
    </row>
    <row r="99" spans="1:11" ht="12.75">
      <c r="A99" s="364" t="s">
        <v>139</v>
      </c>
      <c r="B99" s="372"/>
      <c r="C99" s="854" t="s">
        <v>751</v>
      </c>
      <c r="D99" s="366"/>
      <c r="E99" s="366"/>
      <c r="F99" s="867">
        <v>60000</v>
      </c>
      <c r="G99" s="867">
        <v>60000</v>
      </c>
      <c r="H99" s="867">
        <v>60000</v>
      </c>
      <c r="I99" s="867">
        <v>60000</v>
      </c>
      <c r="J99" s="867">
        <v>60000</v>
      </c>
      <c r="K99" s="867"/>
    </row>
    <row r="100" spans="1:11" ht="12.75" customHeight="1">
      <c r="A100" s="364" t="s">
        <v>141</v>
      </c>
      <c r="B100" s="372"/>
      <c r="C100" s="854" t="s">
        <v>687</v>
      </c>
      <c r="D100" s="366"/>
      <c r="E100" s="366"/>
      <c r="F100" s="867"/>
      <c r="G100" s="867"/>
      <c r="H100" s="867"/>
      <c r="I100" s="867"/>
      <c r="J100" s="867"/>
      <c r="K100" s="867">
        <v>40000</v>
      </c>
    </row>
    <row r="101" spans="1:11" ht="12.75" customHeight="1">
      <c r="A101" s="364" t="s">
        <v>143</v>
      </c>
      <c r="B101" s="372"/>
      <c r="C101" s="854" t="s">
        <v>688</v>
      </c>
      <c r="D101" s="366"/>
      <c r="E101" s="366">
        <f>SUM(950000+244000)</f>
        <v>1194000</v>
      </c>
      <c r="F101" s="867">
        <v>980000</v>
      </c>
      <c r="G101" s="867">
        <v>980000</v>
      </c>
      <c r="H101" s="867">
        <v>980000</v>
      </c>
      <c r="I101" s="867">
        <v>980000</v>
      </c>
      <c r="J101" s="867">
        <v>1500000</v>
      </c>
      <c r="K101" s="867">
        <v>4026000</v>
      </c>
    </row>
    <row r="102" spans="1:11" ht="23.25" customHeight="1">
      <c r="A102" s="364" t="s">
        <v>145</v>
      </c>
      <c r="B102" s="372"/>
      <c r="C102" s="854" t="s">
        <v>689</v>
      </c>
      <c r="D102" s="366"/>
      <c r="E102" s="366">
        <v>60000</v>
      </c>
      <c r="F102" s="366">
        <v>120000</v>
      </c>
      <c r="G102" s="366">
        <v>120000</v>
      </c>
      <c r="H102" s="366">
        <v>120000</v>
      </c>
      <c r="I102" s="366">
        <v>120000</v>
      </c>
      <c r="J102" s="366">
        <v>120000</v>
      </c>
      <c r="K102" s="366">
        <v>20000</v>
      </c>
    </row>
    <row r="103" spans="1:11" ht="12.75" customHeight="1">
      <c r="A103" s="367" t="s">
        <v>147</v>
      </c>
      <c r="B103" s="373" t="s">
        <v>573</v>
      </c>
      <c r="C103" s="374" t="s">
        <v>280</v>
      </c>
      <c r="D103" s="375">
        <v>1</v>
      </c>
      <c r="E103" s="369">
        <f>SUM(E104:E112)-E107</f>
        <v>288511000</v>
      </c>
      <c r="F103" s="369">
        <f>SUM(F104+F105+F106+F108+F109+F110)</f>
        <v>121747399</v>
      </c>
      <c r="G103" s="369">
        <f>SUM(G104+G105+G106+G108+G109+G110)</f>
        <v>125247503</v>
      </c>
      <c r="H103" s="369">
        <f>SUM(H104+H105+H106+H108+H109+H110)</f>
        <v>125222961</v>
      </c>
      <c r="I103" s="369">
        <f>SUM(I104+I105+I106+I108+I109+I110)</f>
        <v>125222961</v>
      </c>
      <c r="J103" s="369">
        <f>SUM(J104+J105+J106+J108+J109+J110)+J112</f>
        <v>491036586</v>
      </c>
      <c r="K103" s="369">
        <f>SUM(K104+K105+K106+K108+K109+K110)+K112</f>
        <v>833281596</v>
      </c>
    </row>
    <row r="104" spans="1:11" ht="12.75" customHeight="1">
      <c r="A104" s="364" t="s">
        <v>149</v>
      </c>
      <c r="B104" s="372"/>
      <c r="C104" s="366" t="s">
        <v>264</v>
      </c>
      <c r="D104" s="366"/>
      <c r="E104" s="366">
        <v>16947000</v>
      </c>
      <c r="F104" s="366">
        <v>15662000</v>
      </c>
      <c r="G104" s="366">
        <f>SUM(15662000+231100)</f>
        <v>15893100</v>
      </c>
      <c r="H104" s="366">
        <v>16667922</v>
      </c>
      <c r="I104" s="366">
        <v>16667922</v>
      </c>
      <c r="J104" s="366">
        <v>18475001</v>
      </c>
      <c r="K104" s="366">
        <v>21721127</v>
      </c>
    </row>
    <row r="105" spans="1:11" ht="12.75" customHeight="1">
      <c r="A105" s="364" t="s">
        <v>151</v>
      </c>
      <c r="B105" s="372"/>
      <c r="C105" s="366" t="s">
        <v>265</v>
      </c>
      <c r="D105" s="366"/>
      <c r="E105" s="366">
        <v>3903000</v>
      </c>
      <c r="F105" s="366">
        <v>3466000</v>
      </c>
      <c r="G105" s="366">
        <v>3466000</v>
      </c>
      <c r="H105" s="366">
        <v>3669143</v>
      </c>
      <c r="I105" s="366">
        <v>3669143</v>
      </c>
      <c r="J105" s="366">
        <v>4066700</v>
      </c>
      <c r="K105" s="366">
        <v>4347431</v>
      </c>
    </row>
    <row r="106" spans="1:11" ht="12.75" customHeight="1">
      <c r="A106" s="364" t="s">
        <v>209</v>
      </c>
      <c r="B106" s="372"/>
      <c r="C106" s="366" t="s">
        <v>266</v>
      </c>
      <c r="D106" s="366"/>
      <c r="E106" s="366">
        <v>57575000</v>
      </c>
      <c r="F106" s="366">
        <v>35299060</v>
      </c>
      <c r="G106" s="366">
        <v>31848564</v>
      </c>
      <c r="H106" s="366">
        <v>31676180</v>
      </c>
      <c r="I106" s="366">
        <v>31676180</v>
      </c>
      <c r="J106" s="366">
        <v>60090702</v>
      </c>
      <c r="K106" s="366">
        <v>54640195</v>
      </c>
    </row>
    <row r="107" spans="1:11" s="803" customFormat="1" ht="12.75" customHeight="1">
      <c r="A107" s="860" t="s">
        <v>211</v>
      </c>
      <c r="B107" s="861"/>
      <c r="C107" s="864" t="s">
        <v>740</v>
      </c>
      <c r="D107" s="862"/>
      <c r="E107" s="862">
        <v>2500000</v>
      </c>
      <c r="F107" s="862">
        <v>2000000</v>
      </c>
      <c r="G107" s="862">
        <v>2000000</v>
      </c>
      <c r="H107" s="862">
        <v>2000000</v>
      </c>
      <c r="I107" s="862">
        <v>2000000</v>
      </c>
      <c r="J107" s="862">
        <v>2000000</v>
      </c>
      <c r="K107" s="862">
        <v>2000000</v>
      </c>
    </row>
    <row r="108" spans="1:11" ht="12.75" customHeight="1">
      <c r="A108" s="364" t="s">
        <v>279</v>
      </c>
      <c r="B108" s="372"/>
      <c r="C108" s="366" t="s">
        <v>15</v>
      </c>
      <c r="D108" s="366"/>
      <c r="E108" s="366">
        <v>95187000</v>
      </c>
      <c r="F108" s="366">
        <f>SUM('6. 7.8. M  '!D21+'6. 7.8. M  '!D27+'6. 7.8. M  '!D28+'6. 7.8. M  '!D29+'6. 7.8. M  '!D30)</f>
        <v>26242174</v>
      </c>
      <c r="G108" s="366">
        <f>SUM('6. 7.8. M  '!E21+'6. 7.8. M  '!E27+'6. 7.8. M  '!E28+'6. 7.8. M  '!E29+'6. 7.8. M  '!E30)+'6. 7.8. M  '!E16</f>
        <v>21185174</v>
      </c>
      <c r="H108" s="366">
        <f>SUM('6. 7.8. M  '!F21+'6. 7.8. M  '!F27+'6. 7.8. M  '!F28+'6. 7.8. M  '!F29+'6. 7.8. M  '!F30)+'6. 7.8. M  '!F16+'6. 7.8. M  '!F17+'6. 7.8. M  '!F18</f>
        <v>25930687</v>
      </c>
      <c r="I108" s="366">
        <f>SUM('6. 7.8. M  '!G21+'6. 7.8. M  '!G27+'6. 7.8. M  '!G28+'6. 7.8. M  '!G29+'6. 7.8. M  '!G30)+'6. 7.8. M  '!G16+'6. 7.8. M  '!G17+'6. 7.8. M  '!G18</f>
        <v>25930687</v>
      </c>
      <c r="J108" s="366">
        <f>SUM('6. 7.8. M  '!H16+'6. 7.8. M  '!H17+'6. 7.8. M  '!H18+'6. 7.8. M  '!H22+'6. 7.8. M  '!H27+'6. 7.8. M  '!H28+'6. 7.8. M  '!H30+'6. 7.8. M  '!H19+'6. 7.8. M  '!H32)+'6. 7.8. M  '!H21</f>
        <v>361071666</v>
      </c>
      <c r="K108" s="366">
        <v>37258268</v>
      </c>
    </row>
    <row r="109" spans="1:11" ht="12.75" customHeight="1">
      <c r="A109" s="364" t="s">
        <v>212</v>
      </c>
      <c r="B109" s="372"/>
      <c r="C109" s="366" t="s">
        <v>574</v>
      </c>
      <c r="D109" s="893"/>
      <c r="E109" s="366">
        <v>33438000</v>
      </c>
      <c r="F109" s="366">
        <f>SUM('21. céltartalék'!C50)</f>
        <v>41078165</v>
      </c>
      <c r="G109" s="366">
        <f>SUM('21. céltartalék'!D50)</f>
        <v>52854665</v>
      </c>
      <c r="H109" s="366">
        <f>SUM('21. céltartalék'!E50)</f>
        <v>47279029</v>
      </c>
      <c r="I109" s="366">
        <f>SUM('21. céltartalék'!F50)</f>
        <v>47279029</v>
      </c>
      <c r="J109" s="366">
        <f>SUM('21. céltartalék'!G50)</f>
        <v>47279029</v>
      </c>
      <c r="K109" s="366">
        <f>SUM('21. céltartalék'!H50)</f>
        <v>715261087</v>
      </c>
    </row>
    <row r="110" spans="1:11" ht="12.75" customHeight="1">
      <c r="A110" s="364" t="s">
        <v>214</v>
      </c>
      <c r="B110" s="372"/>
      <c r="C110" s="855" t="s">
        <v>730</v>
      </c>
      <c r="D110" s="859"/>
      <c r="E110" s="857">
        <v>80000000</v>
      </c>
      <c r="F110" s="366">
        <v>0</v>
      </c>
      <c r="G110" s="366">
        <v>0</v>
      </c>
      <c r="H110" s="366">
        <v>0</v>
      </c>
      <c r="I110" s="366">
        <v>0</v>
      </c>
      <c r="J110" s="366">
        <v>0</v>
      </c>
      <c r="K110" s="366">
        <v>0</v>
      </c>
    </row>
    <row r="111" spans="1:11" ht="12.75" customHeight="1">
      <c r="A111" s="364" t="s">
        <v>281</v>
      </c>
      <c r="B111" s="365"/>
      <c r="C111" s="855" t="s">
        <v>769</v>
      </c>
      <c r="D111" s="859"/>
      <c r="E111" s="857">
        <f>SUM(400000+805000)</f>
        <v>1205000</v>
      </c>
      <c r="F111" s="366"/>
      <c r="G111" s="366"/>
      <c r="H111" s="366"/>
      <c r="I111" s="366"/>
      <c r="J111" s="366"/>
      <c r="K111" s="366"/>
    </row>
    <row r="112" spans="1:11" ht="12.75" customHeight="1">
      <c r="A112" s="364" t="s">
        <v>282</v>
      </c>
      <c r="B112" s="365"/>
      <c r="C112" s="855" t="s">
        <v>521</v>
      </c>
      <c r="D112" s="859"/>
      <c r="E112" s="857">
        <v>256000</v>
      </c>
      <c r="F112" s="366"/>
      <c r="G112" s="366"/>
      <c r="H112" s="366"/>
      <c r="I112" s="366"/>
      <c r="J112" s="366">
        <v>53488</v>
      </c>
      <c r="K112" s="366">
        <v>53488</v>
      </c>
    </row>
    <row r="113" spans="1:11" s="376" customFormat="1" ht="12.75" customHeight="1">
      <c r="A113" s="364" t="s">
        <v>283</v>
      </c>
      <c r="B113" s="368" t="s">
        <v>576</v>
      </c>
      <c r="C113" s="444" t="s">
        <v>731</v>
      </c>
      <c r="D113" s="858"/>
      <c r="E113" s="445">
        <v>10204000</v>
      </c>
      <c r="F113" s="369">
        <f aca="true" t="shared" si="12" ref="F113:K113">SUM(F114:F114)</f>
        <v>6401277</v>
      </c>
      <c r="G113" s="369">
        <f t="shared" si="12"/>
        <v>7745538</v>
      </c>
      <c r="H113" s="369">
        <f t="shared" si="12"/>
        <v>8502671</v>
      </c>
      <c r="I113" s="369">
        <f t="shared" si="12"/>
        <v>8502671</v>
      </c>
      <c r="J113" s="369">
        <f t="shared" si="12"/>
        <v>9473678</v>
      </c>
      <c r="K113" s="369">
        <f t="shared" si="12"/>
        <v>10321373</v>
      </c>
    </row>
    <row r="114" spans="1:11" ht="12.75" customHeight="1">
      <c r="A114" s="364" t="s">
        <v>284</v>
      </c>
      <c r="B114" s="372"/>
      <c r="C114" s="366" t="s">
        <v>575</v>
      </c>
      <c r="D114" s="366"/>
      <c r="E114" s="366">
        <v>10204000</v>
      </c>
      <c r="F114" s="366">
        <v>6401277</v>
      </c>
      <c r="G114" s="366">
        <v>7745538</v>
      </c>
      <c r="H114" s="366">
        <v>8502671</v>
      </c>
      <c r="I114" s="366">
        <v>8502671</v>
      </c>
      <c r="J114" s="366">
        <v>9473678</v>
      </c>
      <c r="K114" s="366">
        <v>10321373</v>
      </c>
    </row>
    <row r="115" spans="1:11" ht="26.25" customHeight="1">
      <c r="A115" s="364" t="s">
        <v>286</v>
      </c>
      <c r="B115" s="377" t="s">
        <v>577</v>
      </c>
      <c r="C115" s="856" t="s">
        <v>692</v>
      </c>
      <c r="D115" s="858"/>
      <c r="E115" s="445">
        <f aca="true" t="shared" si="13" ref="E115:K115">SUM(E116)</f>
        <v>276745000</v>
      </c>
      <c r="F115" s="369">
        <f t="shared" si="13"/>
        <v>281359235</v>
      </c>
      <c r="G115" s="369">
        <f t="shared" si="13"/>
        <v>277111346</v>
      </c>
      <c r="H115" s="369">
        <f t="shared" si="13"/>
        <v>277712085</v>
      </c>
      <c r="I115" s="369">
        <f t="shared" si="13"/>
        <v>277712085</v>
      </c>
      <c r="J115" s="369">
        <f t="shared" si="13"/>
        <v>278048647</v>
      </c>
      <c r="K115" s="369">
        <f t="shared" si="13"/>
        <v>270216255</v>
      </c>
    </row>
    <row r="116" spans="1:11" ht="12.75" customHeight="1" thickBot="1">
      <c r="A116" s="364" t="s">
        <v>288</v>
      </c>
      <c r="B116" s="378"/>
      <c r="C116" s="379" t="s">
        <v>310</v>
      </c>
      <c r="D116" s="379"/>
      <c r="E116" s="380">
        <v>276745000</v>
      </c>
      <c r="F116" s="893">
        <f>SUM('ÖNK ÖSSZESITŐ'!F45)*-1</f>
        <v>281359235</v>
      </c>
      <c r="G116" s="893">
        <f>SUM('ÖNK ÖSSZESITŐ'!G45)*-1</f>
        <v>277111346</v>
      </c>
      <c r="H116" s="893">
        <f>SUM('ÖNK ÖSSZESITŐ'!H45)*-1</f>
        <v>277712085</v>
      </c>
      <c r="I116" s="893">
        <f>SUM('ÖNK ÖSSZESITŐ'!I45)*-1</f>
        <v>277712085</v>
      </c>
      <c r="J116" s="893">
        <f>SUM('ÖNK ÖSSZESITŐ'!J45)*-1</f>
        <v>278048647</v>
      </c>
      <c r="K116" s="893">
        <f>SUM('ÖNK ÖSSZESITŐ'!K45)*-1</f>
        <v>270216255</v>
      </c>
    </row>
    <row r="117" spans="1:11" ht="12.75" customHeight="1" thickBot="1">
      <c r="A117" s="364" t="s">
        <v>290</v>
      </c>
      <c r="B117" s="381"/>
      <c r="C117" s="382" t="s">
        <v>244</v>
      </c>
      <c r="D117" s="382">
        <v>4</v>
      </c>
      <c r="E117" s="383">
        <f aca="true" t="shared" si="14" ref="E117:J117">SUM(E59+E61+E64+E66+E68+E74+E78+E82+E89+E103+E113+E115)</f>
        <v>657710000</v>
      </c>
      <c r="F117" s="383">
        <f t="shared" si="14"/>
        <v>457207000</v>
      </c>
      <c r="G117" s="383">
        <f t="shared" si="14"/>
        <v>460709476</v>
      </c>
      <c r="H117" s="383">
        <f t="shared" si="14"/>
        <v>464516008</v>
      </c>
      <c r="I117" s="383">
        <f t="shared" si="14"/>
        <v>464516008</v>
      </c>
      <c r="J117" s="383">
        <f t="shared" si="14"/>
        <v>833274759</v>
      </c>
      <c r="K117" s="383">
        <f>SUM(K59+K61+K64+K66+K68+K74+K78+K82+K89+K103+K113+K115)</f>
        <v>1168351032</v>
      </c>
    </row>
    <row r="118" spans="1:11" ht="12.75" customHeight="1">
      <c r="A118" s="364" t="s">
        <v>292</v>
      </c>
      <c r="B118" s="384"/>
      <c r="C118" s="385" t="s">
        <v>264</v>
      </c>
      <c r="D118" s="385"/>
      <c r="E118" s="208">
        <f aca="true" t="shared" si="15" ref="E118:J118">SUM(E69+E75+E79+E104)</f>
        <v>40317000</v>
      </c>
      <c r="F118" s="385">
        <f t="shared" si="15"/>
        <v>20859000</v>
      </c>
      <c r="G118" s="385">
        <f t="shared" si="15"/>
        <v>21090100</v>
      </c>
      <c r="H118" s="385">
        <f t="shared" si="15"/>
        <v>21864922</v>
      </c>
      <c r="I118" s="385">
        <f t="shared" si="15"/>
        <v>21864922</v>
      </c>
      <c r="J118" s="385">
        <f t="shared" si="15"/>
        <v>23672001</v>
      </c>
      <c r="K118" s="1593">
        <f>SUM(K69+K75+K79+K104)</f>
        <v>26918127</v>
      </c>
    </row>
    <row r="119" spans="1:11" ht="12.75" customHeight="1">
      <c r="A119" s="364" t="s">
        <v>294</v>
      </c>
      <c r="B119" s="386"/>
      <c r="C119" s="387" t="s">
        <v>265</v>
      </c>
      <c r="D119" s="387"/>
      <c r="E119" s="195">
        <f aca="true" t="shared" si="16" ref="E119:J119">SUM(E70+E80+E105)</f>
        <v>10283000</v>
      </c>
      <c r="F119" s="387">
        <f t="shared" si="16"/>
        <v>4634000</v>
      </c>
      <c r="G119" s="387">
        <f t="shared" si="16"/>
        <v>4634000</v>
      </c>
      <c r="H119" s="387">
        <f t="shared" si="16"/>
        <v>4837143</v>
      </c>
      <c r="I119" s="387">
        <f t="shared" si="16"/>
        <v>4837143</v>
      </c>
      <c r="J119" s="387">
        <f t="shared" si="16"/>
        <v>5234700</v>
      </c>
      <c r="K119" s="1594">
        <f>SUM(K70+K80+K105)</f>
        <v>5515431</v>
      </c>
    </row>
    <row r="120" spans="1:11" ht="12.75" customHeight="1">
      <c r="A120" s="364" t="s">
        <v>296</v>
      </c>
      <c r="B120" s="386"/>
      <c r="C120" s="387" t="s">
        <v>266</v>
      </c>
      <c r="D120" s="387"/>
      <c r="E120" s="195">
        <f aca="true" t="shared" si="17" ref="E120:J120">SUM(E60+E62+E65+E67+E71+E77+E88+E106)</f>
        <v>71129000</v>
      </c>
      <c r="F120" s="387">
        <f t="shared" si="17"/>
        <v>44823060</v>
      </c>
      <c r="G120" s="387">
        <f t="shared" si="17"/>
        <v>41372564</v>
      </c>
      <c r="H120" s="387">
        <f t="shared" si="17"/>
        <v>41200180</v>
      </c>
      <c r="I120" s="387">
        <f t="shared" si="17"/>
        <v>41200180</v>
      </c>
      <c r="J120" s="387">
        <f t="shared" si="17"/>
        <v>69614702</v>
      </c>
      <c r="K120" s="1594">
        <f>SUM(K60+K62+K65+K67+K71+K77+K88+K106)</f>
        <v>64164195</v>
      </c>
    </row>
    <row r="121" spans="1:11" ht="12.75" customHeight="1">
      <c r="A121" s="364" t="s">
        <v>297</v>
      </c>
      <c r="B121" s="386"/>
      <c r="C121" s="387" t="s">
        <v>736</v>
      </c>
      <c r="D121" s="387"/>
      <c r="E121" s="195">
        <f aca="true" t="shared" si="18" ref="E121:J121">SUM(E89)</f>
        <v>3274000</v>
      </c>
      <c r="F121" s="387">
        <f t="shared" si="18"/>
        <v>3200000</v>
      </c>
      <c r="G121" s="387">
        <f t="shared" si="18"/>
        <v>3200000</v>
      </c>
      <c r="H121" s="387">
        <f t="shared" si="18"/>
        <v>3200000</v>
      </c>
      <c r="I121" s="387">
        <f t="shared" si="18"/>
        <v>3200000</v>
      </c>
      <c r="J121" s="387">
        <f t="shared" si="18"/>
        <v>3071000</v>
      </c>
      <c r="K121" s="1594">
        <f>SUM(K89)</f>
        <v>4659500</v>
      </c>
    </row>
    <row r="122" spans="1:11" ht="12.75" customHeight="1">
      <c r="A122" s="364" t="s">
        <v>298</v>
      </c>
      <c r="B122" s="386"/>
      <c r="C122" s="387" t="s">
        <v>737</v>
      </c>
      <c r="D122" s="387"/>
      <c r="E122" s="195">
        <f aca="true" t="shared" si="19" ref="E122:J122">SUM(E109)</f>
        <v>33438000</v>
      </c>
      <c r="F122" s="387">
        <f t="shared" si="19"/>
        <v>41078165</v>
      </c>
      <c r="G122" s="387">
        <f t="shared" si="19"/>
        <v>52854665</v>
      </c>
      <c r="H122" s="387">
        <f t="shared" si="19"/>
        <v>47279029</v>
      </c>
      <c r="I122" s="387">
        <f t="shared" si="19"/>
        <v>47279029</v>
      </c>
      <c r="J122" s="387">
        <f t="shared" si="19"/>
        <v>47279029</v>
      </c>
      <c r="K122" s="1594">
        <f>SUM(K109)</f>
        <v>715261087</v>
      </c>
    </row>
    <row r="123" spans="1:11" ht="12.75" customHeight="1">
      <c r="A123" s="364" t="s">
        <v>299</v>
      </c>
      <c r="B123" s="386"/>
      <c r="C123" s="387" t="s">
        <v>738</v>
      </c>
      <c r="D123" s="387"/>
      <c r="E123" s="195">
        <f aca="true" t="shared" si="20" ref="E123:J123">SUM(E83)+E72</f>
        <v>35672000</v>
      </c>
      <c r="F123" s="387">
        <f t="shared" si="20"/>
        <v>28610089</v>
      </c>
      <c r="G123" s="387">
        <f t="shared" si="20"/>
        <v>31516089</v>
      </c>
      <c r="H123" s="387">
        <f>SUM(H83)+H72</f>
        <v>33989291</v>
      </c>
      <c r="I123" s="387">
        <f t="shared" si="20"/>
        <v>33989291</v>
      </c>
      <c r="J123" s="387">
        <f t="shared" si="20"/>
        <v>35755848</v>
      </c>
      <c r="K123" s="1594">
        <f>SUM(K83)+K72</f>
        <v>33983308</v>
      </c>
    </row>
    <row r="124" spans="1:11" ht="12.75" customHeight="1">
      <c r="A124" s="364" t="s">
        <v>301</v>
      </c>
      <c r="B124" s="386"/>
      <c r="C124" s="387" t="s">
        <v>698</v>
      </c>
      <c r="D124" s="387"/>
      <c r="E124" s="195">
        <f aca="true" t="shared" si="21" ref="E124:J124">SUM(E63+E73+E76+E108)</f>
        <v>95187000</v>
      </c>
      <c r="F124" s="387">
        <f t="shared" si="21"/>
        <v>26242174</v>
      </c>
      <c r="G124" s="387">
        <f t="shared" si="21"/>
        <v>21185174</v>
      </c>
      <c r="H124" s="387">
        <f t="shared" si="21"/>
        <v>25930687</v>
      </c>
      <c r="I124" s="387">
        <f t="shared" si="21"/>
        <v>25930687</v>
      </c>
      <c r="J124" s="387">
        <f t="shared" si="21"/>
        <v>361071666</v>
      </c>
      <c r="K124" s="1594">
        <f>SUM(K63+K73+K76+K108)</f>
        <v>37258268</v>
      </c>
    </row>
    <row r="125" spans="1:11" s="1388" customFormat="1" ht="12.75" customHeight="1">
      <c r="A125" s="1384" t="s">
        <v>302</v>
      </c>
      <c r="B125" s="1385"/>
      <c r="C125" s="1386" t="s">
        <v>882</v>
      </c>
      <c r="D125" s="1386"/>
      <c r="E125" s="1387"/>
      <c r="F125" s="1386"/>
      <c r="G125" s="1386"/>
      <c r="H125" s="1386">
        <v>19242174</v>
      </c>
      <c r="I125" s="1386">
        <v>19242174</v>
      </c>
      <c r="J125" s="1386">
        <v>337876803</v>
      </c>
      <c r="K125" s="1386">
        <v>19639956</v>
      </c>
    </row>
    <row r="126" spans="1:11" s="1388" customFormat="1" ht="12.75" customHeight="1">
      <c r="A126" s="1384" t="s">
        <v>303</v>
      </c>
      <c r="B126" s="1385"/>
      <c r="C126" s="1386" t="s">
        <v>883</v>
      </c>
      <c r="D126" s="1386"/>
      <c r="E126" s="1387"/>
      <c r="F126" s="1386"/>
      <c r="G126" s="1386"/>
      <c r="H126" s="1386">
        <v>6688513</v>
      </c>
      <c r="I126" s="1386">
        <v>6688513</v>
      </c>
      <c r="J126" s="1386">
        <v>23194863</v>
      </c>
      <c r="K126" s="1386">
        <v>17618312</v>
      </c>
    </row>
    <row r="127" spans="1:11" ht="12.75">
      <c r="A127" s="364" t="s">
        <v>304</v>
      </c>
      <c r="B127" s="386"/>
      <c r="C127" s="388" t="s">
        <v>739</v>
      </c>
      <c r="D127" s="387"/>
      <c r="E127" s="195">
        <v>0</v>
      </c>
      <c r="F127" s="387"/>
      <c r="G127" s="387"/>
      <c r="H127" s="387"/>
      <c r="I127" s="387"/>
      <c r="J127" s="387"/>
      <c r="K127" s="387"/>
    </row>
    <row r="128" spans="1:11" ht="25.5">
      <c r="A128" s="364" t="s">
        <v>305</v>
      </c>
      <c r="B128" s="389"/>
      <c r="C128" s="894" t="s">
        <v>790</v>
      </c>
      <c r="D128" s="390"/>
      <c r="E128" s="211">
        <f aca="true" t="shared" si="22" ref="E128:J128">SUM(E110)</f>
        <v>80000000</v>
      </c>
      <c r="F128" s="390">
        <f t="shared" si="22"/>
        <v>0</v>
      </c>
      <c r="G128" s="390">
        <f t="shared" si="22"/>
        <v>0</v>
      </c>
      <c r="H128" s="390">
        <f t="shared" si="22"/>
        <v>0</v>
      </c>
      <c r="I128" s="390">
        <f t="shared" si="22"/>
        <v>0</v>
      </c>
      <c r="J128" s="390">
        <f t="shared" si="22"/>
        <v>0</v>
      </c>
      <c r="K128" s="390">
        <f>SUM(K110)</f>
        <v>0</v>
      </c>
    </row>
    <row r="129" spans="1:11" ht="25.5">
      <c r="A129" s="364" t="s">
        <v>306</v>
      </c>
      <c r="B129" s="895"/>
      <c r="C129" s="896" t="s">
        <v>791</v>
      </c>
      <c r="D129" s="897"/>
      <c r="E129" s="632">
        <f aca="true" t="shared" si="23" ref="E129:J129">SUM(E114)</f>
        <v>10204000</v>
      </c>
      <c r="F129" s="897">
        <f t="shared" si="23"/>
        <v>6401277</v>
      </c>
      <c r="G129" s="897">
        <f t="shared" si="23"/>
        <v>7745538</v>
      </c>
      <c r="H129" s="897">
        <f t="shared" si="23"/>
        <v>8502671</v>
      </c>
      <c r="I129" s="897">
        <f t="shared" si="23"/>
        <v>8502671</v>
      </c>
      <c r="J129" s="897">
        <f t="shared" si="23"/>
        <v>9473678</v>
      </c>
      <c r="K129" s="897">
        <v>10321373</v>
      </c>
    </row>
    <row r="130" spans="1:11" ht="12.75" customHeight="1">
      <c r="A130" s="364" t="s">
        <v>307</v>
      </c>
      <c r="B130" s="895"/>
      <c r="C130" s="896" t="s">
        <v>770</v>
      </c>
      <c r="D130" s="897"/>
      <c r="E130" s="632">
        <v>256000</v>
      </c>
      <c r="F130" s="897"/>
      <c r="G130" s="897"/>
      <c r="H130" s="897"/>
      <c r="I130" s="897"/>
      <c r="J130" s="897">
        <v>53488</v>
      </c>
      <c r="K130" s="1595">
        <v>53488</v>
      </c>
    </row>
    <row r="131" spans="1:11" ht="12.75" customHeight="1">
      <c r="A131" s="364" t="s">
        <v>309</v>
      </c>
      <c r="B131" s="895"/>
      <c r="C131" s="896" t="s">
        <v>771</v>
      </c>
      <c r="D131" s="897"/>
      <c r="E131" s="632">
        <v>805000</v>
      </c>
      <c r="F131" s="897"/>
      <c r="G131" s="897"/>
      <c r="H131" s="897"/>
      <c r="I131" s="897"/>
      <c r="J131" s="897"/>
      <c r="K131" s="897"/>
    </row>
    <row r="132" spans="1:11" ht="12.75" customHeight="1">
      <c r="A132" s="364" t="s">
        <v>311</v>
      </c>
      <c r="B132" s="895"/>
      <c r="C132" s="896" t="s">
        <v>772</v>
      </c>
      <c r="D132" s="897"/>
      <c r="E132" s="632">
        <v>400000</v>
      </c>
      <c r="F132" s="897"/>
      <c r="G132" s="897"/>
      <c r="H132" s="897"/>
      <c r="I132" s="897"/>
      <c r="J132" s="897"/>
      <c r="K132" s="897"/>
    </row>
    <row r="133" spans="1:11" ht="12.75" customHeight="1">
      <c r="A133" s="364" t="s">
        <v>312</v>
      </c>
      <c r="B133" s="895"/>
      <c r="C133" s="896" t="s">
        <v>763</v>
      </c>
      <c r="D133" s="897"/>
      <c r="E133" s="632">
        <f aca="true" t="shared" si="24" ref="E133:J133">SUM(E116)</f>
        <v>276745000</v>
      </c>
      <c r="F133" s="897">
        <f t="shared" si="24"/>
        <v>281359235</v>
      </c>
      <c r="G133" s="897">
        <f t="shared" si="24"/>
        <v>277111346</v>
      </c>
      <c r="H133" s="897">
        <f t="shared" si="24"/>
        <v>277712085</v>
      </c>
      <c r="I133" s="897">
        <f t="shared" si="24"/>
        <v>277712085</v>
      </c>
      <c r="J133" s="897">
        <f t="shared" si="24"/>
        <v>278048647</v>
      </c>
      <c r="K133" s="897">
        <f>SUM(K116)</f>
        <v>270216255</v>
      </c>
    </row>
    <row r="134" spans="1:11" s="391" customFormat="1" ht="12.75" customHeight="1">
      <c r="A134" s="364"/>
      <c r="E134" s="392"/>
      <c r="F134" s="392"/>
      <c r="G134" s="392"/>
      <c r="H134" s="392"/>
      <c r="I134" s="392"/>
      <c r="J134" s="392"/>
      <c r="K134" s="392"/>
    </row>
  </sheetData>
  <sheetProtection selectLockedCells="1" selectUnlockedCells="1"/>
  <mergeCells count="51">
    <mergeCell ref="A1:J1"/>
    <mergeCell ref="C20:D20"/>
    <mergeCell ref="C23:D23"/>
    <mergeCell ref="C24:D24"/>
    <mergeCell ref="C54:D54"/>
    <mergeCell ref="C34:D34"/>
    <mergeCell ref="C35:D35"/>
    <mergeCell ref="C40:D40"/>
    <mergeCell ref="C37:D37"/>
    <mergeCell ref="C39:D39"/>
    <mergeCell ref="C50:D50"/>
    <mergeCell ref="C30:D30"/>
    <mergeCell ref="C31:D31"/>
    <mergeCell ref="C32:D32"/>
    <mergeCell ref="C33:D33"/>
    <mergeCell ref="C48:D48"/>
    <mergeCell ref="C53:D53"/>
    <mergeCell ref="C51:D51"/>
    <mergeCell ref="C52:D52"/>
    <mergeCell ref="C16:D16"/>
    <mergeCell ref="C17:D17"/>
    <mergeCell ref="C18:D18"/>
    <mergeCell ref="C19:D19"/>
    <mergeCell ref="C28:D28"/>
    <mergeCell ref="C29:D29"/>
    <mergeCell ref="C47:D47"/>
    <mergeCell ref="C15:D15"/>
    <mergeCell ref="C26:D26"/>
    <mergeCell ref="A57:B57"/>
    <mergeCell ref="A58:B58"/>
    <mergeCell ref="C21:D21"/>
    <mergeCell ref="C25:D25"/>
    <mergeCell ref="C44:D44"/>
    <mergeCell ref="C41:D41"/>
    <mergeCell ref="C49:D49"/>
    <mergeCell ref="C27:D27"/>
    <mergeCell ref="A8:B8"/>
    <mergeCell ref="C8:D8"/>
    <mergeCell ref="C10:D10"/>
    <mergeCell ref="C11:D11"/>
    <mergeCell ref="C13:D13"/>
    <mergeCell ref="C14:D14"/>
    <mergeCell ref="C9:D9"/>
    <mergeCell ref="C12:D12"/>
    <mergeCell ref="A6:C6"/>
    <mergeCell ref="A7:B7"/>
    <mergeCell ref="C7:D7"/>
    <mergeCell ref="G6:J6"/>
    <mergeCell ref="A4:K4"/>
    <mergeCell ref="A2:K2"/>
    <mergeCell ref="C3:K3"/>
  </mergeCells>
  <printOptions horizontalCentered="1"/>
  <pageMargins left="0.5905511811023623" right="0.5905511811023623" top="0.6692913385826772" bottom="0.6692913385826772" header="0.7874015748031497" footer="0.7874015748031497"/>
  <pageSetup horizontalDpi="600" verticalDpi="600" orientation="portrait" paperSize="9" scale="60" r:id="rId1"/>
  <headerFooter alignWithMargins="0">
    <oddHeader>&amp;C&amp;"Times New Roman,Normál"&amp;12&amp;A</oddHeader>
    <oddFooter>&amp;C&amp;"Times New Roman,Normál"&amp;12Oldal &amp;P</oddFooter>
  </headerFooter>
  <rowBreaks count="1" manualBreakCount="1">
    <brk id="55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Y52"/>
  <sheetViews>
    <sheetView view="pageBreakPreview" zoomScaleSheetLayoutView="100" zoomScalePageLayoutView="0" workbookViewId="0" topLeftCell="A1">
      <pane xSplit="1" topLeftCell="J1" activePane="topRight" state="frozen"/>
      <selection pane="topLeft" activeCell="A1" sqref="A1"/>
      <selection pane="topRight" activeCell="J29" sqref="J29"/>
    </sheetView>
  </sheetViews>
  <sheetFormatPr defaultColWidth="11.57421875" defaultRowHeight="12.75" customHeight="1"/>
  <cols>
    <col min="1" max="1" width="35.00390625" style="0" customWidth="1"/>
    <col min="2" max="2" width="16.00390625" style="0" customWidth="1"/>
    <col min="3" max="3" width="14.7109375" style="0" customWidth="1"/>
    <col min="4" max="4" width="13.7109375" style="0" customWidth="1"/>
    <col min="5" max="5" width="14.7109375" style="0" customWidth="1"/>
    <col min="6" max="6" width="16.00390625" style="0" customWidth="1"/>
    <col min="7" max="7" width="14.7109375" style="0" bestFit="1" customWidth="1"/>
    <col min="8" max="8" width="12.57421875" style="0" customWidth="1"/>
    <col min="9" max="9" width="14.7109375" style="0" bestFit="1" customWidth="1"/>
    <col min="10" max="10" width="16.00390625" style="0" customWidth="1"/>
    <col min="11" max="11" width="14.7109375" style="0" bestFit="1" customWidth="1"/>
    <col min="12" max="12" width="13.7109375" style="0" customWidth="1"/>
    <col min="13" max="13" width="14.7109375" style="0" bestFit="1" customWidth="1"/>
    <col min="14" max="14" width="16.00390625" style="0" customWidth="1"/>
    <col min="15" max="15" width="14.7109375" style="0" bestFit="1" customWidth="1"/>
    <col min="16" max="16" width="13.28125" style="0" customWidth="1"/>
    <col min="17" max="17" width="14.7109375" style="0" bestFit="1" customWidth="1"/>
    <col min="18" max="18" width="16.00390625" style="0" customWidth="1"/>
    <col min="19" max="19" width="16.140625" style="0" customWidth="1"/>
    <col min="20" max="20" width="13.7109375" style="0" customWidth="1"/>
    <col min="21" max="21" width="14.7109375" style="0" bestFit="1" customWidth="1"/>
    <col min="22" max="22" width="17.421875" style="0" customWidth="1"/>
    <col min="23" max="24" width="14.57421875" style="0" customWidth="1"/>
    <col min="25" max="25" width="16.57421875" style="0" customWidth="1"/>
  </cols>
  <sheetData>
    <row r="1" spans="1:25" s="305" customFormat="1" ht="18" customHeight="1">
      <c r="A1" s="1991" t="s">
        <v>565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1991"/>
      <c r="M1" s="1991"/>
      <c r="N1" s="1991"/>
      <c r="O1" s="1991"/>
      <c r="P1" s="1991"/>
      <c r="Q1" s="1991"/>
      <c r="R1" s="1991"/>
      <c r="S1" s="1991"/>
      <c r="T1" s="1991"/>
      <c r="U1" s="1991"/>
      <c r="V1" s="1991"/>
      <c r="W1" s="1991"/>
      <c r="X1" s="1991"/>
      <c r="Y1" s="1991"/>
    </row>
    <row r="2" spans="1:25" ht="12.75" customHeight="1">
      <c r="A2" s="1747" t="s">
        <v>1133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  <c r="O2" s="1747"/>
      <c r="P2" s="1747"/>
      <c r="Q2" s="1747"/>
      <c r="R2" s="1747"/>
      <c r="S2" s="1747"/>
      <c r="T2" s="1747"/>
      <c r="U2" s="1747"/>
      <c r="V2" s="1747"/>
      <c r="W2" s="1747"/>
      <c r="X2" s="1747"/>
      <c r="Y2" s="1747"/>
    </row>
    <row r="3" spans="1:25" ht="12.75" customHeight="1">
      <c r="A3" s="1986" t="s">
        <v>1156</v>
      </c>
      <c r="B3" s="1986"/>
      <c r="C3" s="1986"/>
      <c r="D3" s="1986"/>
      <c r="E3" s="1986"/>
      <c r="F3" s="1986"/>
      <c r="G3" s="1986"/>
      <c r="H3" s="1986"/>
      <c r="I3" s="1986"/>
      <c r="J3" s="1986"/>
      <c r="K3" s="1986"/>
      <c r="L3" s="1986"/>
      <c r="M3" s="1986"/>
      <c r="N3" s="1986"/>
      <c r="O3" s="1986"/>
      <c r="P3" s="1986"/>
      <c r="Q3" s="1986"/>
      <c r="R3" s="1986"/>
      <c r="S3" s="1986"/>
      <c r="T3" s="1986"/>
      <c r="U3" s="1986"/>
      <c r="V3" s="1986"/>
      <c r="W3" s="1986"/>
      <c r="X3" s="1986"/>
      <c r="Y3" s="794"/>
    </row>
    <row r="4" spans="1:25" ht="12.75" customHeight="1">
      <c r="A4" s="1687" t="s">
        <v>2</v>
      </c>
      <c r="B4" s="1687"/>
      <c r="C4" s="1687"/>
      <c r="D4" s="1687"/>
      <c r="E4" s="1687"/>
      <c r="F4" s="1687"/>
      <c r="G4" s="1687"/>
      <c r="H4" s="1687"/>
      <c r="I4" s="1687"/>
      <c r="J4" s="1687"/>
      <c r="K4" s="1687"/>
      <c r="L4" s="1687"/>
      <c r="M4" s="1687"/>
      <c r="N4" s="1687"/>
      <c r="O4" s="1687"/>
      <c r="P4" s="1687"/>
      <c r="Q4" s="1687"/>
      <c r="R4" s="1687"/>
      <c r="S4" s="1687"/>
      <c r="T4" s="1687"/>
      <c r="U4" s="1687"/>
      <c r="V4" s="1687"/>
      <c r="W4" s="1687"/>
      <c r="X4" s="1687"/>
      <c r="Y4" s="1687"/>
    </row>
    <row r="5" spans="1:25" ht="15.75" customHeight="1">
      <c r="A5" s="1748" t="s">
        <v>578</v>
      </c>
      <c r="B5" s="1748"/>
      <c r="C5" s="1748"/>
      <c r="D5" s="1748"/>
      <c r="E5" s="1748"/>
      <c r="F5" s="1748"/>
      <c r="G5" s="1748"/>
      <c r="H5" s="1748"/>
      <c r="I5" s="1748"/>
      <c r="J5" s="1748"/>
      <c r="K5" s="1748"/>
      <c r="L5" s="1748"/>
      <c r="M5" s="1748"/>
      <c r="N5" s="1748"/>
      <c r="O5" s="1748"/>
      <c r="P5" s="1748"/>
      <c r="Q5" s="1748"/>
      <c r="R5" s="1748"/>
      <c r="S5" s="1748"/>
      <c r="T5" s="1748"/>
      <c r="U5" s="1748"/>
      <c r="V5" s="1748"/>
      <c r="W5" s="1748"/>
      <c r="X5" s="1748"/>
      <c r="Y5" s="1748"/>
    </row>
    <row r="6" spans="1:23" ht="9" customHeight="1">
      <c r="A6" s="4"/>
      <c r="B6" s="4"/>
      <c r="C6" s="4"/>
      <c r="F6" s="4"/>
      <c r="G6" s="4"/>
      <c r="J6" s="4"/>
      <c r="K6" s="4"/>
      <c r="N6" s="4"/>
      <c r="O6" s="4"/>
      <c r="R6" s="4"/>
      <c r="S6" s="4"/>
      <c r="V6" s="4"/>
      <c r="W6" s="4"/>
    </row>
    <row r="7" spans="1:21" ht="13.5" customHeight="1" thickBot="1">
      <c r="A7" s="4"/>
      <c r="B7" s="4"/>
      <c r="C7" s="4"/>
      <c r="D7" s="1992"/>
      <c r="E7" s="1992"/>
      <c r="F7" s="4"/>
      <c r="G7" s="4"/>
      <c r="H7" s="1992"/>
      <c r="I7" s="1992"/>
      <c r="J7" s="4"/>
      <c r="K7" s="4"/>
      <c r="L7" s="1993" t="s">
        <v>155</v>
      </c>
      <c r="M7" s="1993"/>
      <c r="N7" s="1993"/>
      <c r="O7" s="1993"/>
      <c r="P7" s="1993"/>
      <c r="Q7" s="1993"/>
      <c r="R7" s="1993"/>
      <c r="S7" s="1993"/>
      <c r="T7" s="1993"/>
      <c r="U7" s="1993"/>
    </row>
    <row r="8" spans="1:25" ht="12.75" customHeight="1" thickBot="1">
      <c r="A8" s="1994" t="s">
        <v>579</v>
      </c>
      <c r="B8" s="1987" t="s">
        <v>580</v>
      </c>
      <c r="C8" s="1989" t="s">
        <v>581</v>
      </c>
      <c r="D8" s="1989"/>
      <c r="E8" s="1990"/>
      <c r="F8" s="1987" t="s">
        <v>580</v>
      </c>
      <c r="G8" s="1989" t="s">
        <v>793</v>
      </c>
      <c r="H8" s="1989"/>
      <c r="I8" s="1990"/>
      <c r="J8" s="1987" t="s">
        <v>580</v>
      </c>
      <c r="K8" s="1989" t="s">
        <v>803</v>
      </c>
      <c r="L8" s="1989"/>
      <c r="M8" s="1990"/>
      <c r="N8" s="1987" t="s">
        <v>580</v>
      </c>
      <c r="O8" s="1989" t="s">
        <v>885</v>
      </c>
      <c r="P8" s="1989"/>
      <c r="Q8" s="1990"/>
      <c r="R8" s="1987" t="s">
        <v>580</v>
      </c>
      <c r="S8" s="1989" t="s">
        <v>891</v>
      </c>
      <c r="T8" s="1989"/>
      <c r="U8" s="1990"/>
      <c r="V8" s="1987" t="s">
        <v>580</v>
      </c>
      <c r="W8" s="1989" t="s">
        <v>947</v>
      </c>
      <c r="X8" s="1989"/>
      <c r="Y8" s="1990"/>
    </row>
    <row r="9" spans="1:25" ht="33.75" customHeight="1">
      <c r="A9" s="1995"/>
      <c r="B9" s="1988"/>
      <c r="C9" s="393" t="s">
        <v>582</v>
      </c>
      <c r="D9" s="393" t="s">
        <v>583</v>
      </c>
      <c r="E9" s="1201" t="s">
        <v>584</v>
      </c>
      <c r="F9" s="1988"/>
      <c r="G9" s="393" t="s">
        <v>582</v>
      </c>
      <c r="H9" s="393" t="s">
        <v>583</v>
      </c>
      <c r="I9" s="1201" t="s">
        <v>584</v>
      </c>
      <c r="J9" s="1988"/>
      <c r="K9" s="393" t="s">
        <v>582</v>
      </c>
      <c r="L9" s="393" t="s">
        <v>583</v>
      </c>
      <c r="M9" s="1201" t="s">
        <v>584</v>
      </c>
      <c r="N9" s="1988"/>
      <c r="O9" s="393" t="s">
        <v>582</v>
      </c>
      <c r="P9" s="393" t="s">
        <v>583</v>
      </c>
      <c r="Q9" s="1201" t="s">
        <v>584</v>
      </c>
      <c r="R9" s="1988"/>
      <c r="S9" s="393" t="s">
        <v>582</v>
      </c>
      <c r="T9" s="393" t="s">
        <v>583</v>
      </c>
      <c r="U9" s="1201" t="s">
        <v>584</v>
      </c>
      <c r="V9" s="1988"/>
      <c r="W9" s="393" t="s">
        <v>582</v>
      </c>
      <c r="X9" s="393" t="s">
        <v>583</v>
      </c>
      <c r="Y9" s="1201" t="s">
        <v>584</v>
      </c>
    </row>
    <row r="10" spans="1:25" ht="15" customHeight="1">
      <c r="A10" s="1221" t="s">
        <v>2</v>
      </c>
      <c r="B10" s="1202">
        <f aca="true" t="shared" si="0" ref="B10:I10">SUM(B11:B22)</f>
        <v>457207000</v>
      </c>
      <c r="C10" s="76">
        <f t="shared" si="0"/>
        <v>47699089</v>
      </c>
      <c r="D10" s="76">
        <f t="shared" si="0"/>
        <v>0</v>
      </c>
      <c r="E10" s="685">
        <f t="shared" si="0"/>
        <v>409507911</v>
      </c>
      <c r="F10" s="1202">
        <f t="shared" si="0"/>
        <v>460709476</v>
      </c>
      <c r="G10" s="76">
        <f t="shared" si="0"/>
        <v>50605089</v>
      </c>
      <c r="H10" s="76">
        <f t="shared" si="0"/>
        <v>0</v>
      </c>
      <c r="I10" s="685">
        <f t="shared" si="0"/>
        <v>410104387</v>
      </c>
      <c r="J10" s="1202">
        <f aca="true" t="shared" si="1" ref="J10:U10">SUM(J11:J22)</f>
        <v>464516008</v>
      </c>
      <c r="K10" s="76">
        <f t="shared" si="1"/>
        <v>53078291</v>
      </c>
      <c r="L10" s="76">
        <f t="shared" si="1"/>
        <v>0</v>
      </c>
      <c r="M10" s="685">
        <f t="shared" si="1"/>
        <v>411437717</v>
      </c>
      <c r="N10" s="1202">
        <f t="shared" si="1"/>
        <v>464516008</v>
      </c>
      <c r="O10" s="76">
        <f t="shared" si="1"/>
        <v>53078291</v>
      </c>
      <c r="P10" s="76">
        <f t="shared" si="1"/>
        <v>0</v>
      </c>
      <c r="Q10" s="685">
        <f t="shared" si="1"/>
        <v>411437717</v>
      </c>
      <c r="R10" s="1202">
        <f t="shared" si="1"/>
        <v>832692759</v>
      </c>
      <c r="S10" s="76">
        <f t="shared" si="1"/>
        <v>52909848</v>
      </c>
      <c r="T10" s="76">
        <f t="shared" si="1"/>
        <v>1224000</v>
      </c>
      <c r="U10" s="685">
        <f t="shared" si="1"/>
        <v>778558911</v>
      </c>
      <c r="V10" s="1202">
        <f>SUM(V11:V22)</f>
        <v>1168351032</v>
      </c>
      <c r="W10" s="76">
        <f>SUM(W11:W22)</f>
        <v>53307808</v>
      </c>
      <c r="X10" s="76">
        <f>SUM(X11:X22)</f>
        <v>1224000</v>
      </c>
      <c r="Y10" s="685">
        <f>SUM(Y11:Y22)</f>
        <v>1113819224</v>
      </c>
    </row>
    <row r="11" spans="1:25" s="1" customFormat="1" ht="15" customHeight="1">
      <c r="A11" s="1222" t="s">
        <v>741</v>
      </c>
      <c r="B11" s="1203">
        <f>SUM(C11:E11)</f>
        <v>673000</v>
      </c>
      <c r="C11" s="151">
        <v>673000</v>
      </c>
      <c r="D11" s="151"/>
      <c r="E11" s="1204"/>
      <c r="F11" s="1203">
        <f>SUM(G11:I11)</f>
        <v>673000</v>
      </c>
      <c r="G11" s="151">
        <v>673000</v>
      </c>
      <c r="H11" s="151"/>
      <c r="I11" s="1204"/>
      <c r="J11" s="1203">
        <f>SUM(K11:M11)</f>
        <v>673000</v>
      </c>
      <c r="K11" s="151">
        <v>673000</v>
      </c>
      <c r="L11" s="151"/>
      <c r="M11" s="1204"/>
      <c r="N11" s="1203">
        <f>SUM(O11:Q11)</f>
        <v>673000</v>
      </c>
      <c r="O11" s="151">
        <v>673000</v>
      </c>
      <c r="P11" s="151"/>
      <c r="Q11" s="1204"/>
      <c r="R11" s="1203">
        <f>SUM(S11:U11)</f>
        <v>673000</v>
      </c>
      <c r="S11" s="151">
        <v>0</v>
      </c>
      <c r="T11" s="151">
        <v>673000</v>
      </c>
      <c r="U11" s="1204"/>
      <c r="V11" s="1203">
        <f>SUM(W11:Y11)</f>
        <v>673000</v>
      </c>
      <c r="W11" s="151">
        <v>0</v>
      </c>
      <c r="X11" s="151">
        <v>673000</v>
      </c>
      <c r="Y11" s="1204"/>
    </row>
    <row r="12" spans="1:25" s="1" customFormat="1" ht="15" customHeight="1">
      <c r="A12" s="1222" t="s">
        <v>262</v>
      </c>
      <c r="B12" s="1203">
        <f aca="true" t="shared" si="2" ref="B12:B21">SUM(C12:E12)</f>
        <v>551000</v>
      </c>
      <c r="C12" s="151">
        <v>551000</v>
      </c>
      <c r="D12" s="151"/>
      <c r="E12" s="1204"/>
      <c r="F12" s="1203">
        <f aca="true" t="shared" si="3" ref="F12:F19">SUM(G12:I12)</f>
        <v>551000</v>
      </c>
      <c r="G12" s="151">
        <v>551000</v>
      </c>
      <c r="H12" s="151"/>
      <c r="I12" s="1204"/>
      <c r="J12" s="1203">
        <f>SUM(K12:M12)</f>
        <v>551000</v>
      </c>
      <c r="K12" s="151">
        <v>551000</v>
      </c>
      <c r="L12" s="151"/>
      <c r="M12" s="1204"/>
      <c r="N12" s="1203">
        <f>SUM(O12:Q12)</f>
        <v>551000</v>
      </c>
      <c r="O12" s="151">
        <v>551000</v>
      </c>
      <c r="P12" s="151"/>
      <c r="Q12" s="1204"/>
      <c r="R12" s="1203">
        <f>SUM(S12:U12)</f>
        <v>551000</v>
      </c>
      <c r="S12" s="151">
        <v>0</v>
      </c>
      <c r="T12" s="151">
        <v>551000</v>
      </c>
      <c r="U12" s="1204"/>
      <c r="V12" s="1203">
        <f>SUM(W12:Y12)</f>
        <v>551000</v>
      </c>
      <c r="W12" s="151">
        <v>0</v>
      </c>
      <c r="X12" s="151">
        <v>551000</v>
      </c>
      <c r="Y12" s="1204"/>
    </row>
    <row r="13" spans="1:25" s="1" customFormat="1" ht="15" customHeight="1">
      <c r="A13" s="1222" t="s">
        <v>267</v>
      </c>
      <c r="B13" s="1203">
        <f t="shared" si="2"/>
        <v>7000000</v>
      </c>
      <c r="C13" s="394">
        <v>7000000</v>
      </c>
      <c r="D13" s="151"/>
      <c r="E13" s="1204"/>
      <c r="F13" s="1203">
        <f t="shared" si="3"/>
        <v>7000000</v>
      </c>
      <c r="G13" s="394">
        <v>7000000</v>
      </c>
      <c r="H13" s="151"/>
      <c r="I13" s="1204"/>
      <c r="J13" s="1203">
        <f>SUM(K13:M13)</f>
        <v>7000000</v>
      </c>
      <c r="K13" s="394">
        <v>7000000</v>
      </c>
      <c r="L13" s="151"/>
      <c r="M13" s="1204"/>
      <c r="N13" s="1203">
        <f>SUM(O13:Q13)</f>
        <v>7000000</v>
      </c>
      <c r="O13" s="394">
        <v>7000000</v>
      </c>
      <c r="P13" s="151"/>
      <c r="Q13" s="1204"/>
      <c r="R13" s="1203">
        <f>SUM(S13:U13)</f>
        <v>7000000</v>
      </c>
      <c r="S13" s="394">
        <v>7000000</v>
      </c>
      <c r="T13" s="151"/>
      <c r="U13" s="1204"/>
      <c r="V13" s="1203">
        <f>SUM(W13:Y13)</f>
        <v>7000000</v>
      </c>
      <c r="W13" s="394">
        <v>7000000</v>
      </c>
      <c r="X13" s="151"/>
      <c r="Y13" s="1204"/>
    </row>
    <row r="14" spans="1:25" s="1" customFormat="1" ht="15" customHeight="1">
      <c r="A14" s="1222" t="s">
        <v>742</v>
      </c>
      <c r="B14" s="1203">
        <f t="shared" si="2"/>
        <v>100000</v>
      </c>
      <c r="C14" s="151">
        <v>100000</v>
      </c>
      <c r="D14" s="151"/>
      <c r="E14" s="1204"/>
      <c r="F14" s="1203">
        <f t="shared" si="3"/>
        <v>100000</v>
      </c>
      <c r="G14" s="151">
        <v>100000</v>
      </c>
      <c r="H14" s="151"/>
      <c r="I14" s="1204"/>
      <c r="J14" s="1203">
        <f>SUM(K14:M14)</f>
        <v>100000</v>
      </c>
      <c r="K14" s="151">
        <v>100000</v>
      </c>
      <c r="L14" s="151"/>
      <c r="M14" s="1204"/>
      <c r="N14" s="1203">
        <f>SUM(O14:Q14)</f>
        <v>100000</v>
      </c>
      <c r="O14" s="151">
        <v>100000</v>
      </c>
      <c r="P14" s="151"/>
      <c r="Q14" s="1204"/>
      <c r="R14" s="1203">
        <f>SUM(S14:U14)</f>
        <v>100000</v>
      </c>
      <c r="S14" s="151">
        <v>100000</v>
      </c>
      <c r="T14" s="151"/>
      <c r="U14" s="1204"/>
      <c r="V14" s="1203">
        <f>SUM(W14:Y14)</f>
        <v>100000</v>
      </c>
      <c r="W14" s="151">
        <v>100000</v>
      </c>
      <c r="X14" s="151"/>
      <c r="Y14" s="1204"/>
    </row>
    <row r="15" spans="1:25" s="1" customFormat="1" ht="15" customHeight="1">
      <c r="A15" s="1222" t="s">
        <v>269</v>
      </c>
      <c r="B15" s="1203">
        <f t="shared" si="2"/>
        <v>9368000</v>
      </c>
      <c r="C15" s="151">
        <v>9368000</v>
      </c>
      <c r="D15" s="151"/>
      <c r="E15" s="1204"/>
      <c r="F15" s="1203">
        <v>9702000</v>
      </c>
      <c r="G15" s="151">
        <v>9702000</v>
      </c>
      <c r="H15" s="151"/>
      <c r="I15" s="1204"/>
      <c r="J15" s="1203">
        <v>9702000</v>
      </c>
      <c r="K15" s="151">
        <v>9702000</v>
      </c>
      <c r="L15" s="151"/>
      <c r="M15" s="1204"/>
      <c r="N15" s="1203">
        <v>9702000</v>
      </c>
      <c r="O15" s="151">
        <v>9702000</v>
      </c>
      <c r="P15" s="151"/>
      <c r="Q15" s="1204"/>
      <c r="R15" s="1203">
        <f>SUM(S15)</f>
        <v>9748848</v>
      </c>
      <c r="S15" s="151">
        <v>9748848</v>
      </c>
      <c r="T15" s="151"/>
      <c r="U15" s="1204"/>
      <c r="V15" s="1203">
        <v>10005000</v>
      </c>
      <c r="W15" s="151">
        <v>10005000</v>
      </c>
      <c r="X15" s="151"/>
      <c r="Y15" s="1204"/>
    </row>
    <row r="16" spans="1:25" s="1" customFormat="1" ht="15" customHeight="1">
      <c r="A16" s="1222" t="s">
        <v>743</v>
      </c>
      <c r="B16" s="1203">
        <f t="shared" si="2"/>
        <v>200000</v>
      </c>
      <c r="C16" s="151">
        <v>200000</v>
      </c>
      <c r="D16" s="151"/>
      <c r="E16" s="1204"/>
      <c r="F16" s="1203">
        <f t="shared" si="3"/>
        <v>200000</v>
      </c>
      <c r="G16" s="151">
        <v>200000</v>
      </c>
      <c r="H16" s="151"/>
      <c r="I16" s="1204"/>
      <c r="J16" s="1203">
        <f>SUM(K16:M16)</f>
        <v>200000</v>
      </c>
      <c r="K16" s="151">
        <v>200000</v>
      </c>
      <c r="L16" s="151"/>
      <c r="M16" s="1204"/>
      <c r="N16" s="1203">
        <f>SUM(O16:Q16)</f>
        <v>200000</v>
      </c>
      <c r="O16" s="151">
        <v>200000</v>
      </c>
      <c r="P16" s="151"/>
      <c r="Q16" s="1204"/>
      <c r="R16" s="1203">
        <f>SUM(S16:U16)</f>
        <v>200000</v>
      </c>
      <c r="S16" s="151">
        <v>200000</v>
      </c>
      <c r="T16" s="151"/>
      <c r="U16" s="1204"/>
      <c r="V16" s="1203">
        <f>SUM(W16:Y16)</f>
        <v>200000</v>
      </c>
      <c r="W16" s="151">
        <v>200000</v>
      </c>
      <c r="X16" s="151"/>
      <c r="Y16" s="1204"/>
    </row>
    <row r="17" spans="1:25" s="1" customFormat="1" ht="15" customHeight="1">
      <c r="A17" s="1222" t="s">
        <v>744</v>
      </c>
      <c r="B17" s="1203">
        <f t="shared" si="2"/>
        <v>0</v>
      </c>
      <c r="C17" s="151">
        <v>0</v>
      </c>
      <c r="D17" s="151"/>
      <c r="E17" s="1204"/>
      <c r="F17" s="1203">
        <f t="shared" si="3"/>
        <v>0</v>
      </c>
      <c r="G17" s="151">
        <v>0</v>
      </c>
      <c r="H17" s="151"/>
      <c r="I17" s="1204"/>
      <c r="J17" s="1203">
        <f>SUM(K17:M17)</f>
        <v>0</v>
      </c>
      <c r="K17" s="151">
        <v>0</v>
      </c>
      <c r="L17" s="151"/>
      <c r="M17" s="1204"/>
      <c r="N17" s="1203">
        <f>SUM(O17:Q17)</f>
        <v>0</v>
      </c>
      <c r="O17" s="151">
        <v>0</v>
      </c>
      <c r="P17" s="151"/>
      <c r="Q17" s="1204"/>
      <c r="R17" s="1203">
        <f>SUM(S17:U17)</f>
        <v>0</v>
      </c>
      <c r="S17" s="151">
        <v>0</v>
      </c>
      <c r="T17" s="151"/>
      <c r="U17" s="1204"/>
      <c r="V17" s="1203">
        <f>SUM(W17:Y17)</f>
        <v>0</v>
      </c>
      <c r="W17" s="151">
        <v>0</v>
      </c>
      <c r="X17" s="151"/>
      <c r="Y17" s="1204"/>
    </row>
    <row r="18" spans="1:25" s="1" customFormat="1" ht="15" customHeight="1">
      <c r="A18" s="1222" t="s">
        <v>275</v>
      </c>
      <c r="B18" s="1203">
        <f t="shared" si="2"/>
        <v>26607089</v>
      </c>
      <c r="C18" s="151">
        <v>26607089</v>
      </c>
      <c r="D18" s="151"/>
      <c r="E18" s="1204"/>
      <c r="F18" s="1203">
        <v>29179089</v>
      </c>
      <c r="G18" s="151">
        <v>29179089</v>
      </c>
      <c r="H18" s="151"/>
      <c r="I18" s="1204"/>
      <c r="J18" s="1203">
        <v>31652291</v>
      </c>
      <c r="K18" s="151">
        <v>31652291</v>
      </c>
      <c r="L18" s="151"/>
      <c r="M18" s="1204"/>
      <c r="N18" s="1203">
        <v>31652291</v>
      </c>
      <c r="O18" s="151">
        <v>31652291</v>
      </c>
      <c r="P18" s="151"/>
      <c r="Q18" s="1204"/>
      <c r="R18" s="1203">
        <f>SUM(S18)</f>
        <v>32790000</v>
      </c>
      <c r="S18" s="151">
        <v>32790000</v>
      </c>
      <c r="T18" s="151"/>
      <c r="U18" s="1204"/>
      <c r="V18" s="1203">
        <v>31343308</v>
      </c>
      <c r="W18" s="151">
        <v>31343308</v>
      </c>
      <c r="X18" s="151"/>
      <c r="Y18" s="1204"/>
    </row>
    <row r="19" spans="1:25" s="1" customFormat="1" ht="15" customHeight="1">
      <c r="A19" s="1222" t="s">
        <v>278</v>
      </c>
      <c r="B19" s="1203">
        <f t="shared" si="2"/>
        <v>3200000</v>
      </c>
      <c r="C19" s="151">
        <v>3200000</v>
      </c>
      <c r="D19" s="151"/>
      <c r="E19" s="1204"/>
      <c r="F19" s="1203">
        <f t="shared" si="3"/>
        <v>3200000</v>
      </c>
      <c r="G19" s="151">
        <v>3200000</v>
      </c>
      <c r="H19" s="151"/>
      <c r="I19" s="1204"/>
      <c r="J19" s="1203">
        <f>SUM(K19:M19)</f>
        <v>3200000</v>
      </c>
      <c r="K19" s="151">
        <v>3200000</v>
      </c>
      <c r="L19" s="151"/>
      <c r="M19" s="1204"/>
      <c r="N19" s="1203">
        <f>SUM(O19:Q19)</f>
        <v>3200000</v>
      </c>
      <c r="O19" s="151">
        <v>3200000</v>
      </c>
      <c r="P19" s="151"/>
      <c r="Q19" s="1204"/>
      <c r="R19" s="1203">
        <f>SUM(S19:U19)</f>
        <v>3071000</v>
      </c>
      <c r="S19" s="151">
        <v>3071000</v>
      </c>
      <c r="T19" s="151"/>
      <c r="U19" s="1204"/>
      <c r="V19" s="1203">
        <v>4659500</v>
      </c>
      <c r="W19" s="151">
        <v>4659500</v>
      </c>
      <c r="X19" s="151"/>
      <c r="Y19" s="1204"/>
    </row>
    <row r="20" spans="1:25" s="1" customFormat="1" ht="15" customHeight="1">
      <c r="A20" s="1222" t="s">
        <v>745</v>
      </c>
      <c r="B20" s="1203">
        <v>121747399</v>
      </c>
      <c r="C20" s="151"/>
      <c r="D20" s="151"/>
      <c r="E20" s="1204">
        <v>121747399</v>
      </c>
      <c r="F20" s="1203">
        <v>125247503</v>
      </c>
      <c r="G20" s="151"/>
      <c r="H20" s="151"/>
      <c r="I20" s="1204">
        <v>125247503</v>
      </c>
      <c r="J20" s="1203">
        <v>125222961</v>
      </c>
      <c r="K20" s="151"/>
      <c r="L20" s="151"/>
      <c r="M20" s="1204">
        <v>125222961</v>
      </c>
      <c r="N20" s="1203">
        <v>125222961</v>
      </c>
      <c r="O20" s="151"/>
      <c r="P20" s="151"/>
      <c r="Q20" s="1204">
        <v>125222961</v>
      </c>
      <c r="R20" s="1204">
        <v>491036586</v>
      </c>
      <c r="S20" s="151"/>
      <c r="T20" s="151"/>
      <c r="U20" s="1204">
        <v>491036586</v>
      </c>
      <c r="V20" s="1204">
        <v>833281596</v>
      </c>
      <c r="W20" s="151"/>
      <c r="X20" s="151"/>
      <c r="Y20" s="1204">
        <v>833281596</v>
      </c>
    </row>
    <row r="21" spans="1:25" s="1" customFormat="1" ht="15" customHeight="1">
      <c r="A21" s="1222" t="s">
        <v>731</v>
      </c>
      <c r="B21" s="1203">
        <f t="shared" si="2"/>
        <v>6401277</v>
      </c>
      <c r="C21" s="151"/>
      <c r="D21" s="151"/>
      <c r="E21" s="1204">
        <v>6401277</v>
      </c>
      <c r="F21" s="1203">
        <v>7745538</v>
      </c>
      <c r="G21" s="151"/>
      <c r="H21" s="151"/>
      <c r="I21" s="1204">
        <v>7745538</v>
      </c>
      <c r="J21" s="1203">
        <v>8502671</v>
      </c>
      <c r="K21" s="151"/>
      <c r="L21" s="151"/>
      <c r="M21" s="1204">
        <v>8502671</v>
      </c>
      <c r="N21" s="1203">
        <v>8502671</v>
      </c>
      <c r="O21" s="151"/>
      <c r="P21" s="151"/>
      <c r="Q21" s="1204">
        <v>8502671</v>
      </c>
      <c r="R21" s="1204">
        <v>9473678</v>
      </c>
      <c r="S21" s="151"/>
      <c r="T21" s="151"/>
      <c r="U21" s="1204">
        <v>9473678</v>
      </c>
      <c r="V21" s="1204">
        <v>10321373</v>
      </c>
      <c r="W21" s="151"/>
      <c r="X21" s="151"/>
      <c r="Y21" s="1204">
        <v>10321373</v>
      </c>
    </row>
    <row r="22" spans="1:25" s="1" customFormat="1" ht="15" customHeight="1" thickBot="1">
      <c r="A22" s="1223" t="s">
        <v>692</v>
      </c>
      <c r="B22" s="1203">
        <v>281359235</v>
      </c>
      <c r="C22" s="396"/>
      <c r="D22" s="1049"/>
      <c r="E22" s="1205">
        <v>281359235</v>
      </c>
      <c r="F22" s="1203">
        <v>277111346</v>
      </c>
      <c r="G22" s="396"/>
      <c r="H22" s="1049"/>
      <c r="I22" s="1205">
        <v>277111346</v>
      </c>
      <c r="J22" s="1203">
        <v>277712085</v>
      </c>
      <c r="K22" s="396"/>
      <c r="L22" s="1049"/>
      <c r="M22" s="1205">
        <v>277712085</v>
      </c>
      <c r="N22" s="1203">
        <v>277712085</v>
      </c>
      <c r="O22" s="396"/>
      <c r="P22" s="1049"/>
      <c r="Q22" s="1205">
        <v>277712085</v>
      </c>
      <c r="R22" s="1205">
        <v>278048647</v>
      </c>
      <c r="S22" s="396"/>
      <c r="T22" s="1049"/>
      <c r="U22" s="1205">
        <v>278048647</v>
      </c>
      <c r="V22" s="1205">
        <v>270216255</v>
      </c>
      <c r="W22" s="396"/>
      <c r="X22" s="1049"/>
      <c r="Y22" s="1205">
        <v>270216255</v>
      </c>
    </row>
    <row r="23" spans="1:25" s="12" customFormat="1" ht="39" customHeight="1" thickBot="1">
      <c r="A23" s="1434" t="s">
        <v>251</v>
      </c>
      <c r="B23" s="1206">
        <f>SUM(B24:B33)</f>
        <v>94122000</v>
      </c>
      <c r="C23" s="1050">
        <f>SUM(C27:C33)</f>
        <v>40426000</v>
      </c>
      <c r="D23" s="1050">
        <f>SUM(D27:D33)</f>
        <v>15145000</v>
      </c>
      <c r="E23" s="1051">
        <f>SUM(E27:E33)</f>
        <v>0</v>
      </c>
      <c r="F23" s="1206">
        <f>SUM(F24:F33)</f>
        <v>89518407</v>
      </c>
      <c r="G23" s="1050">
        <f>SUM(G24:G33)</f>
        <v>71187000</v>
      </c>
      <c r="H23" s="1050">
        <f>SUM(H24:H33)</f>
        <v>18331407</v>
      </c>
      <c r="I23" s="1051">
        <f>SUM(I27:I33)</f>
        <v>0</v>
      </c>
      <c r="J23" s="1206">
        <f>SUM(J24:J33)</f>
        <v>89774063</v>
      </c>
      <c r="K23" s="1050">
        <f>SUM(K24:K33)</f>
        <v>71442656</v>
      </c>
      <c r="L23" s="1050">
        <f>SUM(L24:L33)</f>
        <v>18331407</v>
      </c>
      <c r="M23" s="1051">
        <f>SUM(M27:M33)</f>
        <v>0</v>
      </c>
      <c r="N23" s="1206">
        <f>SUM(N24:N33)</f>
        <v>89774063</v>
      </c>
      <c r="O23" s="1050">
        <f>SUM(O24:O33)</f>
        <v>71442656</v>
      </c>
      <c r="P23" s="1050">
        <f>SUM(P24:P33)</f>
        <v>18331407</v>
      </c>
      <c r="Q23" s="1051">
        <f>SUM(Q27:Q33)</f>
        <v>0</v>
      </c>
      <c r="R23" s="1206">
        <f>SUM(R24:R33)</f>
        <v>90731054</v>
      </c>
      <c r="S23" s="1050">
        <f>SUM(S24:S33)</f>
        <v>72399647</v>
      </c>
      <c r="T23" s="1050">
        <f>SUM(T24:T33)</f>
        <v>18331407</v>
      </c>
      <c r="U23" s="1051">
        <f>SUM(U27:U33)</f>
        <v>0</v>
      </c>
      <c r="V23" s="1206">
        <f>SUM(V24:V33)</f>
        <v>88180563</v>
      </c>
      <c r="W23" s="1050">
        <f>SUM(W24:W33)</f>
        <v>69849156</v>
      </c>
      <c r="X23" s="1050">
        <f>SUM(X24:X33)</f>
        <v>18331407</v>
      </c>
      <c r="Y23" s="1051">
        <f>SUM(Y27:Y33)</f>
        <v>0</v>
      </c>
    </row>
    <row r="24" spans="1:25" s="1" customFormat="1" ht="15" customHeight="1">
      <c r="A24" s="1224" t="s">
        <v>399</v>
      </c>
      <c r="B24" s="1207">
        <f>SUM(C24:E24)</f>
        <v>30161000</v>
      </c>
      <c r="C24" s="400">
        <v>30161000</v>
      </c>
      <c r="D24" s="400"/>
      <c r="E24" s="1208"/>
      <c r="F24" s="1207">
        <f>SUM(G24:I24)</f>
        <v>30161000</v>
      </c>
      <c r="G24" s="400">
        <v>30161000</v>
      </c>
      <c r="H24" s="400"/>
      <c r="I24" s="1208"/>
      <c r="J24" s="1207">
        <f>SUM(K24:M24)</f>
        <v>30161000</v>
      </c>
      <c r="K24" s="400">
        <v>30161000</v>
      </c>
      <c r="L24" s="400"/>
      <c r="M24" s="1208"/>
      <c r="N24" s="1207">
        <f>SUM(O24:Q24)</f>
        <v>30161000</v>
      </c>
      <c r="O24" s="400">
        <v>30161000</v>
      </c>
      <c r="P24" s="400"/>
      <c r="Q24" s="1208"/>
      <c r="R24" s="1207">
        <f>SUM(S24:U24)</f>
        <v>30161000</v>
      </c>
      <c r="S24" s="400">
        <v>30161000</v>
      </c>
      <c r="T24" s="400"/>
      <c r="U24" s="1208"/>
      <c r="V24" s="1207">
        <f>SUM(W24:Y24)</f>
        <v>30161000</v>
      </c>
      <c r="W24" s="400">
        <v>30161000</v>
      </c>
      <c r="X24" s="400"/>
      <c r="Y24" s="1208"/>
    </row>
    <row r="25" spans="1:25" s="1" customFormat="1" ht="15" customHeight="1">
      <c r="A25" s="1222" t="s">
        <v>404</v>
      </c>
      <c r="B25" s="1207">
        <f aca="true" t="shared" si="4" ref="B25:B33">SUM(C25:E25)</f>
        <v>8390000</v>
      </c>
      <c r="C25" s="151"/>
      <c r="D25" s="151">
        <v>8390000</v>
      </c>
      <c r="E25" s="1204"/>
      <c r="F25" s="1207">
        <f>SUM(G25:I25)</f>
        <v>8390000</v>
      </c>
      <c r="G25" s="151"/>
      <c r="H25" s="151">
        <v>8390000</v>
      </c>
      <c r="I25" s="1204"/>
      <c r="J25" s="1207">
        <f>SUM(K25:M25)</f>
        <v>8390000</v>
      </c>
      <c r="K25" s="151"/>
      <c r="L25" s="151">
        <v>8390000</v>
      </c>
      <c r="M25" s="1204"/>
      <c r="N25" s="1207">
        <f>SUM(O25:Q25)</f>
        <v>8390000</v>
      </c>
      <c r="O25" s="151"/>
      <c r="P25" s="151">
        <v>8390000</v>
      </c>
      <c r="Q25" s="1204"/>
      <c r="R25" s="1207">
        <f>SUM(S25:U25)</f>
        <v>8390000</v>
      </c>
      <c r="S25" s="151"/>
      <c r="T25" s="151">
        <v>8390000</v>
      </c>
      <c r="U25" s="1204"/>
      <c r="V25" s="1207">
        <f>SUM(W25:Y25)</f>
        <v>8390000</v>
      </c>
      <c r="W25" s="151"/>
      <c r="X25" s="151">
        <v>8390000</v>
      </c>
      <c r="Y25" s="1204"/>
    </row>
    <row r="26" spans="1:25" s="1" customFormat="1" ht="15" customHeight="1">
      <c r="A26" s="1222" t="s">
        <v>409</v>
      </c>
      <c r="B26" s="1207">
        <f t="shared" si="4"/>
        <v>0</v>
      </c>
      <c r="C26" s="151"/>
      <c r="D26" s="151"/>
      <c r="E26" s="1204"/>
      <c r="F26" s="1207">
        <f>SUM(G26:I26)</f>
        <v>0</v>
      </c>
      <c r="G26" s="151"/>
      <c r="H26" s="151"/>
      <c r="I26" s="1204"/>
      <c r="J26" s="1207">
        <f>SUM(K26:M26)</f>
        <v>0</v>
      </c>
      <c r="K26" s="151"/>
      <c r="L26" s="151"/>
      <c r="M26" s="1204"/>
      <c r="N26" s="1207">
        <f>SUM(O26:Q26)</f>
        <v>0</v>
      </c>
      <c r="O26" s="151"/>
      <c r="P26" s="151"/>
      <c r="Q26" s="1204"/>
      <c r="R26" s="1207">
        <f>SUM(S26:U26)</f>
        <v>0</v>
      </c>
      <c r="S26" s="151"/>
      <c r="T26" s="151"/>
      <c r="U26" s="1204"/>
      <c r="V26" s="1207">
        <f>SUM(W26:Y26)</f>
        <v>0</v>
      </c>
      <c r="W26" s="151"/>
      <c r="X26" s="151"/>
      <c r="Y26" s="1204"/>
    </row>
    <row r="27" spans="1:25" s="1" customFormat="1" ht="15" customHeight="1">
      <c r="A27" s="1222" t="s">
        <v>585</v>
      </c>
      <c r="B27" s="1207">
        <f t="shared" si="4"/>
        <v>500000</v>
      </c>
      <c r="C27" s="151">
        <v>500000</v>
      </c>
      <c r="D27" s="151"/>
      <c r="E27" s="1204"/>
      <c r="F27" s="1207">
        <f>SUM(G27:I27)</f>
        <v>500000</v>
      </c>
      <c r="G27" s="151">
        <v>500000</v>
      </c>
      <c r="H27" s="151"/>
      <c r="I27" s="1204"/>
      <c r="J27" s="1207">
        <f>SUM(K27:M27)</f>
        <v>500000</v>
      </c>
      <c r="K27" s="151">
        <v>500000</v>
      </c>
      <c r="L27" s="151"/>
      <c r="M27" s="1204"/>
      <c r="N27" s="1207">
        <f>SUM(O27:Q27)</f>
        <v>500000</v>
      </c>
      <c r="O27" s="151">
        <v>500000</v>
      </c>
      <c r="P27" s="151"/>
      <c r="Q27" s="1204"/>
      <c r="R27" s="1207">
        <f>SUM(S27:U27)</f>
        <v>500000</v>
      </c>
      <c r="S27" s="151">
        <v>500000</v>
      </c>
      <c r="T27" s="151"/>
      <c r="U27" s="1204"/>
      <c r="V27" s="1207">
        <f>SUM(W27:Y27)</f>
        <v>500000</v>
      </c>
      <c r="W27" s="151">
        <v>500000</v>
      </c>
      <c r="X27" s="151"/>
      <c r="Y27" s="1204"/>
    </row>
    <row r="28" spans="1:25" s="1" customFormat="1" ht="15" customHeight="1">
      <c r="A28" s="1222" t="s">
        <v>586</v>
      </c>
      <c r="B28" s="1207">
        <f t="shared" si="4"/>
        <v>430000</v>
      </c>
      <c r="C28" s="394">
        <v>430000</v>
      </c>
      <c r="D28" s="151"/>
      <c r="E28" s="1204"/>
      <c r="F28" s="1207">
        <f>SUM(G28:I28)</f>
        <v>430000</v>
      </c>
      <c r="G28" s="394">
        <v>430000</v>
      </c>
      <c r="H28" s="151"/>
      <c r="I28" s="1204"/>
      <c r="J28" s="1207">
        <f>SUM(K28:M28)</f>
        <v>430000</v>
      </c>
      <c r="K28" s="394">
        <v>430000</v>
      </c>
      <c r="L28" s="151"/>
      <c r="M28" s="1204"/>
      <c r="N28" s="1207">
        <f>SUM(O28:Q28)</f>
        <v>430000</v>
      </c>
      <c r="O28" s="394">
        <v>430000</v>
      </c>
      <c r="P28" s="151"/>
      <c r="Q28" s="1204"/>
      <c r="R28" s="1207">
        <f>SUM(S28:U28)</f>
        <v>430000</v>
      </c>
      <c r="S28" s="394">
        <v>430000</v>
      </c>
      <c r="T28" s="151"/>
      <c r="U28" s="1204"/>
      <c r="V28" s="1207">
        <f>SUM(W28:Y28)</f>
        <v>430000</v>
      </c>
      <c r="W28" s="394">
        <v>430000</v>
      </c>
      <c r="X28" s="151"/>
      <c r="Y28" s="1204"/>
    </row>
    <row r="29" spans="1:25" s="1" customFormat="1" ht="15" customHeight="1">
      <c r="A29" s="1222" t="s">
        <v>587</v>
      </c>
      <c r="B29" s="1207">
        <v>29002000</v>
      </c>
      <c r="C29" s="151">
        <v>29002000</v>
      </c>
      <c r="D29" s="151"/>
      <c r="E29" s="1204"/>
      <c r="F29" s="1207">
        <v>34136000</v>
      </c>
      <c r="G29" s="151">
        <v>34136000</v>
      </c>
      <c r="H29" s="151"/>
      <c r="I29" s="1204"/>
      <c r="J29" s="1207">
        <v>34391656</v>
      </c>
      <c r="K29" s="151">
        <v>34391656</v>
      </c>
      <c r="L29" s="151"/>
      <c r="M29" s="1204"/>
      <c r="N29" s="1207">
        <v>34391656</v>
      </c>
      <c r="O29" s="151">
        <v>34391656</v>
      </c>
      <c r="P29" s="151"/>
      <c r="Q29" s="1204"/>
      <c r="R29" s="1207">
        <v>34441188</v>
      </c>
      <c r="S29" s="151">
        <v>34441188</v>
      </c>
      <c r="T29" s="151"/>
      <c r="U29" s="1204"/>
      <c r="V29" s="1207">
        <v>31890697</v>
      </c>
      <c r="W29" s="151">
        <v>31890697</v>
      </c>
      <c r="X29" s="151"/>
      <c r="Y29" s="1204"/>
    </row>
    <row r="30" spans="1:25" s="1" customFormat="1" ht="15" customHeight="1">
      <c r="A30" s="1222" t="s">
        <v>588</v>
      </c>
      <c r="B30" s="1207">
        <f t="shared" si="4"/>
        <v>640000</v>
      </c>
      <c r="C30" s="151">
        <v>640000</v>
      </c>
      <c r="D30" s="151"/>
      <c r="E30" s="1204"/>
      <c r="F30" s="1207">
        <f>SUM(G30:I30)</f>
        <v>640000</v>
      </c>
      <c r="G30" s="151">
        <v>640000</v>
      </c>
      <c r="H30" s="151"/>
      <c r="I30" s="1204"/>
      <c r="J30" s="1207">
        <f>SUM(K30:M30)</f>
        <v>640000</v>
      </c>
      <c r="K30" s="151">
        <v>640000</v>
      </c>
      <c r="L30" s="151"/>
      <c r="M30" s="1204"/>
      <c r="N30" s="1207">
        <f>SUM(O30:Q30)</f>
        <v>640000</v>
      </c>
      <c r="O30" s="151">
        <v>640000</v>
      </c>
      <c r="P30" s="151"/>
      <c r="Q30" s="1204"/>
      <c r="R30" s="1207">
        <f>SUM(S30:U30)</f>
        <v>640000</v>
      </c>
      <c r="S30" s="151">
        <v>640000</v>
      </c>
      <c r="T30" s="151"/>
      <c r="U30" s="1204"/>
      <c r="V30" s="1207">
        <f>SUM(W30:Y30)</f>
        <v>640000</v>
      </c>
      <c r="W30" s="151">
        <v>640000</v>
      </c>
      <c r="X30" s="151"/>
      <c r="Y30" s="1204"/>
    </row>
    <row r="31" spans="1:25" s="1" customFormat="1" ht="15" customHeight="1">
      <c r="A31" s="1222" t="s">
        <v>746</v>
      </c>
      <c r="B31" s="1207">
        <v>9134000</v>
      </c>
      <c r="C31" s="151">
        <v>9134000</v>
      </c>
      <c r="D31" s="151"/>
      <c r="E31" s="1204"/>
      <c r="F31" s="1207">
        <v>4600000</v>
      </c>
      <c r="G31" s="151">
        <v>4600000</v>
      </c>
      <c r="H31" s="151"/>
      <c r="I31" s="1204"/>
      <c r="J31" s="1207">
        <v>4600000</v>
      </c>
      <c r="K31" s="151">
        <v>4600000</v>
      </c>
      <c r="L31" s="151"/>
      <c r="M31" s="1204"/>
      <c r="N31" s="1207">
        <v>4600000</v>
      </c>
      <c r="O31" s="151">
        <v>4600000</v>
      </c>
      <c r="P31" s="151"/>
      <c r="Q31" s="1204"/>
      <c r="R31" s="1207">
        <v>5507459</v>
      </c>
      <c r="S31" s="151">
        <v>5507459</v>
      </c>
      <c r="T31" s="151"/>
      <c r="U31" s="1204"/>
      <c r="V31" s="1207">
        <v>5507459</v>
      </c>
      <c r="W31" s="151">
        <v>5507459</v>
      </c>
      <c r="X31" s="151"/>
      <c r="Y31" s="1204"/>
    </row>
    <row r="32" spans="1:25" s="1" customFormat="1" ht="15" customHeight="1">
      <c r="A32" s="1222" t="s">
        <v>589</v>
      </c>
      <c r="B32" s="1207">
        <f t="shared" si="4"/>
        <v>720000</v>
      </c>
      <c r="C32" s="151">
        <v>720000</v>
      </c>
      <c r="D32" s="151"/>
      <c r="E32" s="1204"/>
      <c r="F32" s="1207">
        <f>SUM(G32:I32)</f>
        <v>720000</v>
      </c>
      <c r="G32" s="151">
        <v>720000</v>
      </c>
      <c r="H32" s="151"/>
      <c r="I32" s="1204"/>
      <c r="J32" s="1207">
        <f>SUM(K32:M32)</f>
        <v>720000</v>
      </c>
      <c r="K32" s="151">
        <v>720000</v>
      </c>
      <c r="L32" s="151"/>
      <c r="M32" s="1204"/>
      <c r="N32" s="1207">
        <f>SUM(O32:Q32)</f>
        <v>720000</v>
      </c>
      <c r="O32" s="151">
        <v>720000</v>
      </c>
      <c r="P32" s="151"/>
      <c r="Q32" s="1204"/>
      <c r="R32" s="1207">
        <f>SUM(S32:U32)</f>
        <v>720000</v>
      </c>
      <c r="S32" s="151">
        <v>720000</v>
      </c>
      <c r="T32" s="151"/>
      <c r="U32" s="1204"/>
      <c r="V32" s="1207">
        <f>SUM(W32:Y32)</f>
        <v>720000</v>
      </c>
      <c r="W32" s="151">
        <v>720000</v>
      </c>
      <c r="X32" s="151"/>
      <c r="Y32" s="1204"/>
    </row>
    <row r="33" spans="1:25" s="1" customFormat="1" ht="15" customHeight="1" thickBot="1">
      <c r="A33" s="1223" t="s">
        <v>590</v>
      </c>
      <c r="B33" s="1207">
        <f t="shared" si="4"/>
        <v>15145000</v>
      </c>
      <c r="C33" s="396"/>
      <c r="D33" s="396">
        <v>15145000</v>
      </c>
      <c r="E33" s="1205"/>
      <c r="F33" s="1207">
        <v>9941407</v>
      </c>
      <c r="G33" s="396"/>
      <c r="H33" s="396">
        <v>9941407</v>
      </c>
      <c r="I33" s="1205"/>
      <c r="J33" s="1207">
        <v>9941407</v>
      </c>
      <c r="K33" s="396"/>
      <c r="L33" s="396">
        <v>9941407</v>
      </c>
      <c r="M33" s="1205"/>
      <c r="N33" s="1207">
        <v>9941407</v>
      </c>
      <c r="O33" s="396"/>
      <c r="P33" s="396">
        <v>9941407</v>
      </c>
      <c r="Q33" s="1205"/>
      <c r="R33" s="1207">
        <v>9941407</v>
      </c>
      <c r="S33" s="396"/>
      <c r="T33" s="396">
        <v>9941407</v>
      </c>
      <c r="U33" s="1205"/>
      <c r="V33" s="1207">
        <v>9941407</v>
      </c>
      <c r="W33" s="396"/>
      <c r="X33" s="396">
        <v>9941407</v>
      </c>
      <c r="Y33" s="1205"/>
    </row>
    <row r="34" spans="1:25" ht="15" customHeight="1" thickBot="1">
      <c r="A34" s="1225" t="s">
        <v>327</v>
      </c>
      <c r="B34" s="1209">
        <f aca="true" t="shared" si="5" ref="B34:I34">SUM(B35:B36)</f>
        <v>86703000</v>
      </c>
      <c r="C34" s="397">
        <f t="shared" si="5"/>
        <v>0</v>
      </c>
      <c r="D34" s="397">
        <f t="shared" si="5"/>
        <v>0</v>
      </c>
      <c r="E34" s="1210">
        <f t="shared" si="5"/>
        <v>86703000</v>
      </c>
      <c r="F34" s="1209">
        <f t="shared" si="5"/>
        <v>86703000</v>
      </c>
      <c r="G34" s="397">
        <f t="shared" si="5"/>
        <v>0</v>
      </c>
      <c r="H34" s="397">
        <f t="shared" si="5"/>
        <v>0</v>
      </c>
      <c r="I34" s="1210">
        <f t="shared" si="5"/>
        <v>86703000</v>
      </c>
      <c r="J34" s="1209">
        <f aca="true" t="shared" si="6" ref="J34:U34">SUM(J35:J36)</f>
        <v>86719510</v>
      </c>
      <c r="K34" s="397">
        <f t="shared" si="6"/>
        <v>0</v>
      </c>
      <c r="L34" s="397">
        <f t="shared" si="6"/>
        <v>0</v>
      </c>
      <c r="M34" s="1210">
        <f t="shared" si="6"/>
        <v>86719510</v>
      </c>
      <c r="N34" s="1209">
        <f t="shared" si="6"/>
        <v>86719510</v>
      </c>
      <c r="O34" s="397">
        <f t="shared" si="6"/>
        <v>0</v>
      </c>
      <c r="P34" s="397">
        <f t="shared" si="6"/>
        <v>0</v>
      </c>
      <c r="Q34" s="1210">
        <f t="shared" si="6"/>
        <v>86719510</v>
      </c>
      <c r="R34" s="1209">
        <f t="shared" si="6"/>
        <v>86719510</v>
      </c>
      <c r="S34" s="397">
        <f t="shared" si="6"/>
        <v>0</v>
      </c>
      <c r="T34" s="397">
        <f t="shared" si="6"/>
        <v>0</v>
      </c>
      <c r="U34" s="1210">
        <f t="shared" si="6"/>
        <v>86719510</v>
      </c>
      <c r="V34" s="1209">
        <f>SUM(V35:V36)</f>
        <v>80440449</v>
      </c>
      <c r="W34" s="397">
        <f>SUM(W35:W36)</f>
        <v>0</v>
      </c>
      <c r="X34" s="397">
        <f>SUM(X35:X36)</f>
        <v>0</v>
      </c>
      <c r="Y34" s="1210">
        <f>SUM(Y35:Y36)</f>
        <v>80440449</v>
      </c>
    </row>
    <row r="35" spans="1:25" s="148" customFormat="1" ht="15" customHeight="1">
      <c r="A35" s="1226" t="s">
        <v>591</v>
      </c>
      <c r="B35" s="1211">
        <v>81891000</v>
      </c>
      <c r="C35" s="398"/>
      <c r="D35" s="398"/>
      <c r="E35" s="1212">
        <v>81891000</v>
      </c>
      <c r="F35" s="1211">
        <v>81891000</v>
      </c>
      <c r="G35" s="398"/>
      <c r="H35" s="398"/>
      <c r="I35" s="1212">
        <v>81891000</v>
      </c>
      <c r="J35" s="1211">
        <v>81907510</v>
      </c>
      <c r="K35" s="398"/>
      <c r="L35" s="398"/>
      <c r="M35" s="1212">
        <v>81907510</v>
      </c>
      <c r="N35" s="1211">
        <v>81907510</v>
      </c>
      <c r="O35" s="398"/>
      <c r="P35" s="398"/>
      <c r="Q35" s="1212">
        <v>81907510</v>
      </c>
      <c r="R35" s="1211">
        <v>81907510</v>
      </c>
      <c r="S35" s="398"/>
      <c r="T35" s="398"/>
      <c r="U35" s="1212">
        <v>81907510</v>
      </c>
      <c r="V35" s="1211">
        <v>75628449</v>
      </c>
      <c r="W35" s="398"/>
      <c r="X35" s="398"/>
      <c r="Y35" s="1212">
        <v>75628449</v>
      </c>
    </row>
    <row r="36" spans="1:25" s="148" customFormat="1" ht="15" customHeight="1" thickBot="1">
      <c r="A36" s="1227" t="s">
        <v>592</v>
      </c>
      <c r="B36" s="1213">
        <f>SUM('17. Hivatal'!F33)</f>
        <v>4812000</v>
      </c>
      <c r="C36" s="83"/>
      <c r="D36" s="83"/>
      <c r="E36" s="1214">
        <v>4812000</v>
      </c>
      <c r="F36" s="1213">
        <v>4812000</v>
      </c>
      <c r="G36" s="83"/>
      <c r="H36" s="83"/>
      <c r="I36" s="1214">
        <v>4812000</v>
      </c>
      <c r="J36" s="1213">
        <v>4812000</v>
      </c>
      <c r="K36" s="83"/>
      <c r="L36" s="83"/>
      <c r="M36" s="1214">
        <v>4812000</v>
      </c>
      <c r="N36" s="1213">
        <v>4812000</v>
      </c>
      <c r="O36" s="83"/>
      <c r="P36" s="83"/>
      <c r="Q36" s="1214">
        <v>4812000</v>
      </c>
      <c r="R36" s="1213">
        <v>4812000</v>
      </c>
      <c r="S36" s="83"/>
      <c r="T36" s="83"/>
      <c r="U36" s="1214">
        <v>4812000</v>
      </c>
      <c r="V36" s="1213">
        <v>4812000</v>
      </c>
      <c r="W36" s="83"/>
      <c r="X36" s="83"/>
      <c r="Y36" s="1214">
        <v>4812000</v>
      </c>
    </row>
    <row r="37" spans="1:25" ht="15" customHeight="1" thickBot="1">
      <c r="A37" s="1225" t="s">
        <v>247</v>
      </c>
      <c r="B37" s="1209">
        <f aca="true" t="shared" si="7" ref="B37:I37">SUM(B38:B45)</f>
        <v>112115000</v>
      </c>
      <c r="C37" s="397">
        <f t="shared" si="7"/>
        <v>93420000</v>
      </c>
      <c r="D37" s="397">
        <f t="shared" si="7"/>
        <v>18695000</v>
      </c>
      <c r="E37" s="1210">
        <f t="shared" si="7"/>
        <v>0</v>
      </c>
      <c r="F37" s="1209">
        <f t="shared" si="7"/>
        <v>113285704</v>
      </c>
      <c r="G37" s="397">
        <f t="shared" si="7"/>
        <v>94455704</v>
      </c>
      <c r="H37" s="397">
        <f t="shared" si="7"/>
        <v>18830000</v>
      </c>
      <c r="I37" s="1210">
        <f t="shared" si="7"/>
        <v>0</v>
      </c>
      <c r="J37" s="1209">
        <f aca="true" t="shared" si="8" ref="J37:U37">SUM(J38:J45)</f>
        <v>113386395</v>
      </c>
      <c r="K37" s="397">
        <f t="shared" si="8"/>
        <v>94455704</v>
      </c>
      <c r="L37" s="397">
        <f t="shared" si="8"/>
        <v>18930691</v>
      </c>
      <c r="M37" s="1210">
        <f t="shared" si="8"/>
        <v>0</v>
      </c>
      <c r="N37" s="1209">
        <f t="shared" si="8"/>
        <v>113386395</v>
      </c>
      <c r="O37" s="397">
        <f t="shared" si="8"/>
        <v>94455704</v>
      </c>
      <c r="P37" s="397">
        <f t="shared" si="8"/>
        <v>18930691</v>
      </c>
      <c r="Q37" s="1210">
        <f t="shared" si="8"/>
        <v>0</v>
      </c>
      <c r="R37" s="1209">
        <f t="shared" si="8"/>
        <v>113568016</v>
      </c>
      <c r="S37" s="397">
        <f t="shared" si="8"/>
        <v>94455704</v>
      </c>
      <c r="T37" s="397">
        <f t="shared" si="8"/>
        <v>19112312</v>
      </c>
      <c r="U37" s="1210">
        <f t="shared" si="8"/>
        <v>0</v>
      </c>
      <c r="V37" s="1209">
        <f>SUM(V38:V45)</f>
        <v>117803298</v>
      </c>
      <c r="W37" s="397">
        <f>SUM(W38:W45)</f>
        <v>98625986</v>
      </c>
      <c r="X37" s="397">
        <f>SUM(X38:X45)</f>
        <v>19177312</v>
      </c>
      <c r="Y37" s="1210">
        <f>SUM(Y38:Y45)</f>
        <v>0</v>
      </c>
    </row>
    <row r="38" spans="1:25" s="148" customFormat="1" ht="15" customHeight="1">
      <c r="A38" s="1223" t="s">
        <v>593</v>
      </c>
      <c r="B38" s="1211">
        <f>SUM(C38:E38)</f>
        <v>14906000</v>
      </c>
      <c r="C38" s="398">
        <v>14906000</v>
      </c>
      <c r="D38" s="398"/>
      <c r="E38" s="1212"/>
      <c r="F38" s="1211">
        <v>15116721</v>
      </c>
      <c r="G38" s="398">
        <v>15116721</v>
      </c>
      <c r="H38" s="398"/>
      <c r="I38" s="1212"/>
      <c r="J38" s="1211">
        <v>15116721</v>
      </c>
      <c r="K38" s="398">
        <v>15116721</v>
      </c>
      <c r="L38" s="398"/>
      <c r="M38" s="1212"/>
      <c r="N38" s="1211">
        <v>15116721</v>
      </c>
      <c r="O38" s="398">
        <v>15116721</v>
      </c>
      <c r="P38" s="398"/>
      <c r="Q38" s="1212"/>
      <c r="R38" s="1211">
        <v>15116721</v>
      </c>
      <c r="S38" s="398">
        <v>15116721</v>
      </c>
      <c r="T38" s="398"/>
      <c r="U38" s="1212"/>
      <c r="V38" s="1211">
        <v>16496721</v>
      </c>
      <c r="W38" s="398">
        <v>16496721</v>
      </c>
      <c r="X38" s="398"/>
      <c r="Y38" s="1212"/>
    </row>
    <row r="39" spans="1:25" s="148" customFormat="1" ht="15" customHeight="1">
      <c r="A39" s="1228" t="s">
        <v>594</v>
      </c>
      <c r="B39" s="1211">
        <f aca="true" t="shared" si="9" ref="B39:B45">SUM(C39:E39)</f>
        <v>1871000</v>
      </c>
      <c r="C39" s="71">
        <v>1871000</v>
      </c>
      <c r="D39" s="71"/>
      <c r="E39" s="1215"/>
      <c r="F39" s="1211">
        <v>1895983</v>
      </c>
      <c r="G39" s="71">
        <v>1895983</v>
      </c>
      <c r="H39" s="71"/>
      <c r="I39" s="1215"/>
      <c r="J39" s="1211">
        <v>1895983</v>
      </c>
      <c r="K39" s="71">
        <v>1895983</v>
      </c>
      <c r="L39" s="71"/>
      <c r="M39" s="1215"/>
      <c r="N39" s="1211">
        <v>1895983</v>
      </c>
      <c r="O39" s="71">
        <v>1895983</v>
      </c>
      <c r="P39" s="71"/>
      <c r="Q39" s="1215"/>
      <c r="R39" s="1211">
        <v>1895983</v>
      </c>
      <c r="S39" s="71">
        <v>1895983</v>
      </c>
      <c r="T39" s="71"/>
      <c r="U39" s="1215"/>
      <c r="V39" s="1211">
        <v>2795983</v>
      </c>
      <c r="W39" s="71">
        <v>2795983</v>
      </c>
      <c r="X39" s="71"/>
      <c r="Y39" s="1215"/>
    </row>
    <row r="40" spans="1:25" s="1" customFormat="1" ht="15" customHeight="1">
      <c r="A40" s="1228" t="s">
        <v>747</v>
      </c>
      <c r="B40" s="1211">
        <f t="shared" si="9"/>
        <v>0</v>
      </c>
      <c r="C40" s="866"/>
      <c r="D40" s="866">
        <v>0</v>
      </c>
      <c r="E40" s="936"/>
      <c r="F40" s="1211">
        <f>SUM(G40:I40)</f>
        <v>0</v>
      </c>
      <c r="G40" s="866"/>
      <c r="H40" s="866">
        <v>0</v>
      </c>
      <c r="I40" s="936"/>
      <c r="J40" s="1211">
        <f>SUM(K40:M40)</f>
        <v>0</v>
      </c>
      <c r="K40" s="866"/>
      <c r="L40" s="866">
        <v>0</v>
      </c>
      <c r="M40" s="936"/>
      <c r="N40" s="1211">
        <f>SUM(O40:Q40)</f>
        <v>0</v>
      </c>
      <c r="O40" s="866"/>
      <c r="P40" s="866">
        <v>0</v>
      </c>
      <c r="Q40" s="936"/>
      <c r="R40" s="1211">
        <f>SUM(S40:U40)</f>
        <v>0</v>
      </c>
      <c r="S40" s="866"/>
      <c r="T40" s="866">
        <v>0</v>
      </c>
      <c r="U40" s="936"/>
      <c r="V40" s="1211">
        <f>SUM(W40:Y40)</f>
        <v>0</v>
      </c>
      <c r="W40" s="866"/>
      <c r="X40" s="866">
        <v>0</v>
      </c>
      <c r="Y40" s="936"/>
    </row>
    <row r="41" spans="1:25" s="1" customFormat="1" ht="15" customHeight="1">
      <c r="A41" s="1228" t="s">
        <v>748</v>
      </c>
      <c r="B41" s="1211">
        <v>73012000</v>
      </c>
      <c r="C41" s="866">
        <v>73012000</v>
      </c>
      <c r="D41" s="866"/>
      <c r="E41" s="936"/>
      <c r="F41" s="1211">
        <v>73012000</v>
      </c>
      <c r="G41" s="866">
        <v>73012000</v>
      </c>
      <c r="H41" s="866"/>
      <c r="I41" s="936"/>
      <c r="J41" s="1211">
        <v>73012000</v>
      </c>
      <c r="K41" s="866">
        <v>73012000</v>
      </c>
      <c r="L41" s="866"/>
      <c r="M41" s="936"/>
      <c r="N41" s="1211">
        <v>73012000</v>
      </c>
      <c r="O41" s="866">
        <v>73012000</v>
      </c>
      <c r="P41" s="866"/>
      <c r="Q41" s="936"/>
      <c r="R41" s="1211">
        <v>73012000</v>
      </c>
      <c r="S41" s="866">
        <v>73012000</v>
      </c>
      <c r="T41" s="866"/>
      <c r="U41" s="936"/>
      <c r="V41" s="1211">
        <v>73489172</v>
      </c>
      <c r="W41" s="866">
        <v>73489172</v>
      </c>
      <c r="X41" s="866"/>
      <c r="Y41" s="936"/>
    </row>
    <row r="42" spans="1:25" s="148" customFormat="1" ht="15" customHeight="1">
      <c r="A42" s="1229" t="s">
        <v>540</v>
      </c>
      <c r="B42" s="1211">
        <v>381000</v>
      </c>
      <c r="C42" s="71">
        <v>381000</v>
      </c>
      <c r="D42" s="71"/>
      <c r="E42" s="1215"/>
      <c r="F42" s="1211">
        <v>381000</v>
      </c>
      <c r="G42" s="71">
        <v>381000</v>
      </c>
      <c r="H42" s="71"/>
      <c r="I42" s="1215"/>
      <c r="J42" s="1211">
        <v>381000</v>
      </c>
      <c r="K42" s="71">
        <v>381000</v>
      </c>
      <c r="L42" s="71"/>
      <c r="M42" s="1215"/>
      <c r="N42" s="1211">
        <v>381000</v>
      </c>
      <c r="O42" s="71">
        <v>381000</v>
      </c>
      <c r="P42" s="71"/>
      <c r="Q42" s="1215"/>
      <c r="R42" s="1211">
        <v>381000</v>
      </c>
      <c r="S42" s="71">
        <v>381000</v>
      </c>
      <c r="T42" s="71"/>
      <c r="U42" s="1215"/>
      <c r="V42" s="1211">
        <v>381000</v>
      </c>
      <c r="W42" s="71">
        <v>381000</v>
      </c>
      <c r="X42" s="71"/>
      <c r="Y42" s="1215"/>
    </row>
    <row r="43" spans="1:25" s="148" customFormat="1" ht="15" customHeight="1">
      <c r="A43" s="1229" t="s">
        <v>749</v>
      </c>
      <c r="B43" s="1211">
        <v>9653000</v>
      </c>
      <c r="C43" s="71"/>
      <c r="D43" s="71">
        <v>9653000</v>
      </c>
      <c r="E43" s="1215"/>
      <c r="F43" s="1211">
        <v>9668000</v>
      </c>
      <c r="G43" s="71"/>
      <c r="H43" s="71">
        <v>9668000</v>
      </c>
      <c r="I43" s="1215"/>
      <c r="J43" s="1211">
        <v>9668000</v>
      </c>
      <c r="K43" s="71"/>
      <c r="L43" s="71">
        <v>9668000</v>
      </c>
      <c r="M43" s="1215"/>
      <c r="N43" s="1211">
        <v>9668000</v>
      </c>
      <c r="O43" s="71"/>
      <c r="P43" s="71">
        <v>9668000</v>
      </c>
      <c r="Q43" s="1215"/>
      <c r="R43" s="1211">
        <v>9668000</v>
      </c>
      <c r="S43" s="71"/>
      <c r="T43" s="71">
        <v>9668000</v>
      </c>
      <c r="U43" s="1215"/>
      <c r="V43" s="1211">
        <v>9733000</v>
      </c>
      <c r="W43" s="71"/>
      <c r="X43" s="71">
        <v>9733000</v>
      </c>
      <c r="Y43" s="1215"/>
    </row>
    <row r="44" spans="1:25" s="148" customFormat="1" ht="15" customHeight="1">
      <c r="A44" s="1229" t="s">
        <v>595</v>
      </c>
      <c r="B44" s="1211">
        <v>9042000</v>
      </c>
      <c r="C44" s="83"/>
      <c r="D44" s="83">
        <v>9042000</v>
      </c>
      <c r="E44" s="1214"/>
      <c r="F44" s="1211">
        <v>9162000</v>
      </c>
      <c r="G44" s="83"/>
      <c r="H44" s="83">
        <v>9162000</v>
      </c>
      <c r="I44" s="1214"/>
      <c r="J44" s="1211">
        <v>9262691</v>
      </c>
      <c r="K44" s="83"/>
      <c r="L44" s="83">
        <v>9262691</v>
      </c>
      <c r="M44" s="1214"/>
      <c r="N44" s="1211">
        <v>9262691</v>
      </c>
      <c r="O44" s="83"/>
      <c r="P44" s="83">
        <v>9262691</v>
      </c>
      <c r="Q44" s="1214"/>
      <c r="R44" s="1211">
        <v>9444312</v>
      </c>
      <c r="S44" s="83"/>
      <c r="T44" s="83">
        <v>9444312</v>
      </c>
      <c r="U44" s="1214"/>
      <c r="V44" s="1211">
        <v>9444312</v>
      </c>
      <c r="W44" s="83"/>
      <c r="X44" s="83">
        <v>9444312</v>
      </c>
      <c r="Y44" s="1214"/>
    </row>
    <row r="45" spans="1:25" s="148" customFormat="1" ht="15" customHeight="1" thickBot="1">
      <c r="A45" s="1230" t="s">
        <v>750</v>
      </c>
      <c r="B45" s="1211">
        <f t="shared" si="9"/>
        <v>3250000</v>
      </c>
      <c r="C45" s="83">
        <v>3250000</v>
      </c>
      <c r="D45" s="83"/>
      <c r="E45" s="1214"/>
      <c r="F45" s="1211">
        <v>4050000</v>
      </c>
      <c r="G45" s="83">
        <v>4050000</v>
      </c>
      <c r="H45" s="83"/>
      <c r="I45" s="1214"/>
      <c r="J45" s="1211">
        <v>4050000</v>
      </c>
      <c r="K45" s="83">
        <v>4050000</v>
      </c>
      <c r="L45" s="83"/>
      <c r="M45" s="1214"/>
      <c r="N45" s="1211">
        <v>4050000</v>
      </c>
      <c r="O45" s="83">
        <v>4050000</v>
      </c>
      <c r="P45" s="83"/>
      <c r="Q45" s="1214"/>
      <c r="R45" s="1211">
        <v>4050000</v>
      </c>
      <c r="S45" s="83">
        <v>4050000</v>
      </c>
      <c r="T45" s="83"/>
      <c r="U45" s="1214"/>
      <c r="V45" s="1211">
        <v>5463110</v>
      </c>
      <c r="W45" s="83">
        <v>5463110</v>
      </c>
      <c r="X45" s="83"/>
      <c r="Y45" s="1214"/>
    </row>
    <row r="46" spans="1:25" ht="15" customHeight="1" thickBot="1">
      <c r="A46" s="1225" t="s">
        <v>922</v>
      </c>
      <c r="B46" s="1209">
        <f aca="true" t="shared" si="10" ref="B46:I46">SUM(B47:B51)</f>
        <v>18150000</v>
      </c>
      <c r="C46" s="397">
        <f t="shared" si="10"/>
        <v>13137000</v>
      </c>
      <c r="D46" s="397">
        <f t="shared" si="10"/>
        <v>5013000</v>
      </c>
      <c r="E46" s="1210">
        <f t="shared" si="10"/>
        <v>0</v>
      </c>
      <c r="F46" s="1209">
        <f t="shared" si="10"/>
        <v>18150000</v>
      </c>
      <c r="G46" s="397">
        <f t="shared" si="10"/>
        <v>13137000</v>
      </c>
      <c r="H46" s="397">
        <f t="shared" si="10"/>
        <v>5013000</v>
      </c>
      <c r="I46" s="1210">
        <f t="shared" si="10"/>
        <v>0</v>
      </c>
      <c r="J46" s="1209">
        <f aca="true" t="shared" si="11" ref="J46:U46">SUM(J47:J51)</f>
        <v>18377882</v>
      </c>
      <c r="K46" s="397">
        <f t="shared" si="11"/>
        <v>13364882</v>
      </c>
      <c r="L46" s="397">
        <f t="shared" si="11"/>
        <v>5013000</v>
      </c>
      <c r="M46" s="1210">
        <f t="shared" si="11"/>
        <v>0</v>
      </c>
      <c r="N46" s="1209">
        <f t="shared" si="11"/>
        <v>18377882</v>
      </c>
      <c r="O46" s="397">
        <f t="shared" si="11"/>
        <v>13364882</v>
      </c>
      <c r="P46" s="397">
        <f t="shared" si="11"/>
        <v>5013000</v>
      </c>
      <c r="Q46" s="1210">
        <f t="shared" si="11"/>
        <v>0</v>
      </c>
      <c r="R46" s="1209">
        <f t="shared" si="11"/>
        <v>18585398</v>
      </c>
      <c r="S46" s="397">
        <f t="shared" si="11"/>
        <v>13572398</v>
      </c>
      <c r="T46" s="397">
        <f t="shared" si="11"/>
        <v>5013000</v>
      </c>
      <c r="U46" s="1210">
        <f t="shared" si="11"/>
        <v>0</v>
      </c>
      <c r="V46" s="1209">
        <f>SUM(V47:V51)</f>
        <v>15216808</v>
      </c>
      <c r="W46" s="397">
        <f>SUM(W47:W51)</f>
        <v>13726808</v>
      </c>
      <c r="X46" s="397">
        <f>SUM(X47:X51)</f>
        <v>1490000</v>
      </c>
      <c r="Y46" s="1210">
        <f>SUM(Y47:Y51)</f>
        <v>0</v>
      </c>
    </row>
    <row r="47" spans="1:25" ht="15" customHeight="1">
      <c r="A47" s="1224" t="s">
        <v>596</v>
      </c>
      <c r="B47" s="1216">
        <f>SUM(C47:E47)</f>
        <v>13137000</v>
      </c>
      <c r="C47" s="400">
        <v>13137000</v>
      </c>
      <c r="D47" s="398"/>
      <c r="E47" s="1217"/>
      <c r="F47" s="1216">
        <f>SUM(G47:I47)</f>
        <v>13137000</v>
      </c>
      <c r="G47" s="400">
        <v>13137000</v>
      </c>
      <c r="H47" s="398"/>
      <c r="I47" s="1217"/>
      <c r="J47" s="1216">
        <f>SUM(K47:M47)</f>
        <v>13364882</v>
      </c>
      <c r="K47" s="400">
        <v>13364882</v>
      </c>
      <c r="L47" s="398"/>
      <c r="M47" s="1217"/>
      <c r="N47" s="1216">
        <f>SUM(O47:Q47)</f>
        <v>13364882</v>
      </c>
      <c r="O47" s="400">
        <v>13364882</v>
      </c>
      <c r="P47" s="398"/>
      <c r="Q47" s="1217"/>
      <c r="R47" s="1216">
        <f>SUM(S47:U47)</f>
        <v>13572398</v>
      </c>
      <c r="S47" s="400">
        <v>13572398</v>
      </c>
      <c r="T47" s="398"/>
      <c r="U47" s="1217"/>
      <c r="V47" s="1216">
        <v>13726808</v>
      </c>
      <c r="W47" s="400">
        <v>13726808</v>
      </c>
      <c r="X47" s="398"/>
      <c r="Y47" s="1217"/>
    </row>
    <row r="48" spans="1:25" ht="7.5" customHeight="1" hidden="1">
      <c r="A48" s="1222" t="s">
        <v>597</v>
      </c>
      <c r="B48" s="1216">
        <f>SUM(C48:E48)</f>
        <v>0</v>
      </c>
      <c r="C48" s="76"/>
      <c r="D48" s="71"/>
      <c r="E48" s="685"/>
      <c r="F48" s="1216">
        <f>SUM(G48:I48)</f>
        <v>0</v>
      </c>
      <c r="G48" s="76"/>
      <c r="H48" s="71"/>
      <c r="I48" s="685"/>
      <c r="J48" s="1216">
        <f>SUM(K48:M48)</f>
        <v>0</v>
      </c>
      <c r="K48" s="76"/>
      <c r="L48" s="71"/>
      <c r="M48" s="685"/>
      <c r="N48" s="1216">
        <f>SUM(O48:Q48)</f>
        <v>0</v>
      </c>
      <c r="O48" s="76"/>
      <c r="P48" s="71"/>
      <c r="Q48" s="685"/>
      <c r="R48" s="1216">
        <f>SUM(S48:U48)</f>
        <v>0</v>
      </c>
      <c r="S48" s="76"/>
      <c r="T48" s="71"/>
      <c r="U48" s="685"/>
      <c r="V48" s="1216">
        <f>SUM(W48:Y48)</f>
        <v>0</v>
      </c>
      <c r="W48" s="76"/>
      <c r="X48" s="71"/>
      <c r="Y48" s="685"/>
    </row>
    <row r="49" spans="1:25" s="148" customFormat="1" ht="15" customHeight="1">
      <c r="A49" s="1222" t="s">
        <v>390</v>
      </c>
      <c r="B49" s="1216">
        <f>SUM(C49:E49)</f>
        <v>3613000</v>
      </c>
      <c r="C49" s="402"/>
      <c r="D49" s="71">
        <v>3613000</v>
      </c>
      <c r="E49" s="1215"/>
      <c r="F49" s="1216">
        <f>SUM(G49:I49)</f>
        <v>3613000</v>
      </c>
      <c r="G49" s="402"/>
      <c r="H49" s="71">
        <v>3613000</v>
      </c>
      <c r="I49" s="1215"/>
      <c r="J49" s="1216">
        <f>SUM(K49:M49)</f>
        <v>3613000</v>
      </c>
      <c r="K49" s="402"/>
      <c r="L49" s="71">
        <v>3613000</v>
      </c>
      <c r="M49" s="1215"/>
      <c r="N49" s="1216">
        <f>SUM(O49:Q49)</f>
        <v>3613000</v>
      </c>
      <c r="O49" s="402"/>
      <c r="P49" s="71">
        <v>3613000</v>
      </c>
      <c r="Q49" s="1215"/>
      <c r="R49" s="1216">
        <f>SUM(S49:U49)</f>
        <v>3613000</v>
      </c>
      <c r="S49" s="402"/>
      <c r="T49" s="71">
        <v>3613000</v>
      </c>
      <c r="U49" s="1215"/>
      <c r="V49" s="1216">
        <v>1190000</v>
      </c>
      <c r="W49" s="402"/>
      <c r="X49" s="71">
        <v>1190000</v>
      </c>
      <c r="Y49" s="1215"/>
    </row>
    <row r="50" spans="1:25" s="148" customFormat="1" ht="15" customHeight="1">
      <c r="A50" s="1231" t="s">
        <v>548</v>
      </c>
      <c r="B50" s="1216">
        <f>SUM(C50:E50)</f>
        <v>700000</v>
      </c>
      <c r="C50" s="402"/>
      <c r="D50" s="71">
        <v>700000</v>
      </c>
      <c r="E50" s="1215"/>
      <c r="F50" s="1216">
        <f>SUM(G50:I50)</f>
        <v>700000</v>
      </c>
      <c r="G50" s="402"/>
      <c r="H50" s="71">
        <v>700000</v>
      </c>
      <c r="I50" s="1215"/>
      <c r="J50" s="1216">
        <f>SUM(K50:M50)</f>
        <v>700000</v>
      </c>
      <c r="K50" s="402"/>
      <c r="L50" s="71">
        <v>700000</v>
      </c>
      <c r="M50" s="1215"/>
      <c r="N50" s="1216">
        <f>SUM(O50:Q50)</f>
        <v>700000</v>
      </c>
      <c r="O50" s="402"/>
      <c r="P50" s="71">
        <v>700000</v>
      </c>
      <c r="Q50" s="1215"/>
      <c r="R50" s="1216">
        <f>SUM(S50:U50)</f>
        <v>700000</v>
      </c>
      <c r="S50" s="402"/>
      <c r="T50" s="71">
        <v>700000</v>
      </c>
      <c r="U50" s="1215"/>
      <c r="V50" s="1216">
        <v>0</v>
      </c>
      <c r="W50" s="402"/>
      <c r="X50" s="71">
        <v>0</v>
      </c>
      <c r="Y50" s="1215"/>
    </row>
    <row r="51" spans="1:25" s="148" customFormat="1" ht="15" customHeight="1" thickBot="1">
      <c r="A51" s="1232" t="s">
        <v>549</v>
      </c>
      <c r="B51" s="1216">
        <f>SUM(C51:E51)</f>
        <v>700000</v>
      </c>
      <c r="C51" s="403"/>
      <c r="D51" s="83">
        <v>700000</v>
      </c>
      <c r="E51" s="1214"/>
      <c r="F51" s="1216">
        <f>SUM(G51:I51)</f>
        <v>700000</v>
      </c>
      <c r="G51" s="403"/>
      <c r="H51" s="83">
        <v>700000</v>
      </c>
      <c r="I51" s="1214"/>
      <c r="J51" s="1216">
        <f>SUM(K51:M51)</f>
        <v>700000</v>
      </c>
      <c r="K51" s="403"/>
      <c r="L51" s="83">
        <v>700000</v>
      </c>
      <c r="M51" s="1214"/>
      <c r="N51" s="1216">
        <f>SUM(O51:Q51)</f>
        <v>700000</v>
      </c>
      <c r="O51" s="403"/>
      <c r="P51" s="83">
        <v>700000</v>
      </c>
      <c r="Q51" s="1214"/>
      <c r="R51" s="1216">
        <f>SUM(S51:U51)</f>
        <v>700000</v>
      </c>
      <c r="S51" s="403"/>
      <c r="T51" s="83">
        <v>700000</v>
      </c>
      <c r="U51" s="1214"/>
      <c r="V51" s="1216">
        <v>300000</v>
      </c>
      <c r="W51" s="403"/>
      <c r="X51" s="83">
        <v>300000</v>
      </c>
      <c r="Y51" s="1214"/>
    </row>
    <row r="52" spans="1:25" s="12" customFormat="1" ht="15" customHeight="1" thickBot="1">
      <c r="A52" s="1233" t="s">
        <v>25</v>
      </c>
      <c r="B52" s="1218">
        <f aca="true" t="shared" si="12" ref="B52:I52">SUM(B10+B23+B34+B37+B46)</f>
        <v>768297000</v>
      </c>
      <c r="C52" s="1219">
        <f t="shared" si="12"/>
        <v>194682089</v>
      </c>
      <c r="D52" s="1219">
        <f t="shared" si="12"/>
        <v>38853000</v>
      </c>
      <c r="E52" s="1220">
        <f t="shared" si="12"/>
        <v>496210911</v>
      </c>
      <c r="F52" s="1218">
        <f t="shared" si="12"/>
        <v>768366587</v>
      </c>
      <c r="G52" s="1219">
        <f t="shared" si="12"/>
        <v>229384793</v>
      </c>
      <c r="H52" s="1219">
        <f t="shared" si="12"/>
        <v>42174407</v>
      </c>
      <c r="I52" s="1220">
        <f t="shared" si="12"/>
        <v>496807387</v>
      </c>
      <c r="J52" s="1218">
        <f aca="true" t="shared" si="13" ref="J52:U52">SUM(J10+J23+J34+J37+J46)</f>
        <v>772773858</v>
      </c>
      <c r="K52" s="1219">
        <f t="shared" si="13"/>
        <v>232341533</v>
      </c>
      <c r="L52" s="1219">
        <f t="shared" si="13"/>
        <v>42275098</v>
      </c>
      <c r="M52" s="1220">
        <f t="shared" si="13"/>
        <v>498157227</v>
      </c>
      <c r="N52" s="1218">
        <f t="shared" si="13"/>
        <v>772773858</v>
      </c>
      <c r="O52" s="1219">
        <f t="shared" si="13"/>
        <v>232341533</v>
      </c>
      <c r="P52" s="1219">
        <f t="shared" si="13"/>
        <v>42275098</v>
      </c>
      <c r="Q52" s="1220">
        <f t="shared" si="13"/>
        <v>498157227</v>
      </c>
      <c r="R52" s="1218">
        <f t="shared" si="13"/>
        <v>1142296737</v>
      </c>
      <c r="S52" s="1219">
        <f t="shared" si="13"/>
        <v>233337597</v>
      </c>
      <c r="T52" s="1219">
        <f t="shared" si="13"/>
        <v>43680719</v>
      </c>
      <c r="U52" s="1220">
        <f t="shared" si="13"/>
        <v>865278421</v>
      </c>
      <c r="V52" s="1218">
        <f>SUM(V10+V23+V34+V37+V46)</f>
        <v>1469992150</v>
      </c>
      <c r="W52" s="1219">
        <f>SUM(W10+W23+W34+W37+W46)</f>
        <v>235509758</v>
      </c>
      <c r="X52" s="1219">
        <f>SUM(X10+X23+X34+X37+X46)</f>
        <v>40222719</v>
      </c>
      <c r="Y52" s="1220">
        <f>SUM(Y10+Y23+Y34+Y37+Y46)</f>
        <v>1194259673</v>
      </c>
    </row>
  </sheetData>
  <sheetProtection selectLockedCells="1" selectUnlockedCells="1"/>
  <mergeCells count="21">
    <mergeCell ref="S8:U8"/>
    <mergeCell ref="A1:Y1"/>
    <mergeCell ref="O8:Q8"/>
    <mergeCell ref="F8:F9"/>
    <mergeCell ref="G8:I8"/>
    <mergeCell ref="D7:E7"/>
    <mergeCell ref="L7:U7"/>
    <mergeCell ref="C8:E8"/>
    <mergeCell ref="H7:I7"/>
    <mergeCell ref="N8:N9"/>
    <mergeCell ref="A8:A9"/>
    <mergeCell ref="A3:X3"/>
    <mergeCell ref="V8:V9"/>
    <mergeCell ref="W8:Y8"/>
    <mergeCell ref="A5:Y5"/>
    <mergeCell ref="A4:Y4"/>
    <mergeCell ref="A2:Y2"/>
    <mergeCell ref="B8:B9"/>
    <mergeCell ref="J8:J9"/>
    <mergeCell ref="K8:M8"/>
    <mergeCell ref="R8:R9"/>
  </mergeCells>
  <printOptions horizontalCentered="1"/>
  <pageMargins left="0.4724409448818898" right="0.11811023622047245" top="0.984251968503937" bottom="0.984251968503937" header="0.5118110236220472" footer="0.5118110236220472"/>
  <pageSetup horizontalDpi="600" verticalDpi="600" orientation="landscape" paperSize="9" scale="3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R33"/>
  <sheetViews>
    <sheetView showGridLines="0" view="pageBreakPreview" zoomScale="60" zoomScalePageLayoutView="0" workbookViewId="0" topLeftCell="A1">
      <selection activeCell="F49" sqref="F49"/>
    </sheetView>
  </sheetViews>
  <sheetFormatPr defaultColWidth="9.140625" defaultRowHeight="12.75"/>
  <cols>
    <col min="1" max="1" width="5.7109375" style="0" customWidth="1"/>
    <col min="2" max="2" width="31.7109375" style="0" customWidth="1"/>
    <col min="3" max="3" width="17.140625" style="0" customWidth="1"/>
    <col min="4" max="4" width="16.7109375" style="0" customWidth="1"/>
    <col min="5" max="5" width="11.421875" style="0" customWidth="1"/>
    <col min="6" max="6" width="17.28125" style="0" customWidth="1"/>
    <col min="7" max="8" width="16.7109375" style="0" customWidth="1"/>
    <col min="9" max="9" width="10.8515625" style="0" customWidth="1"/>
    <col min="10" max="10" width="17.28125" style="0" customWidth="1"/>
    <col min="11" max="11" width="17.00390625" style="0" customWidth="1"/>
    <col min="12" max="12" width="16.7109375" style="0" customWidth="1"/>
    <col min="13" max="13" width="10.7109375" style="0" customWidth="1"/>
    <col min="14" max="14" width="17.28125" style="0" customWidth="1"/>
    <col min="15" max="15" width="17.57421875" style="0" customWidth="1"/>
    <col min="16" max="16" width="16.7109375" style="0" customWidth="1"/>
    <col min="17" max="17" width="10.7109375" style="0" customWidth="1"/>
    <col min="18" max="18" width="17.28125" style="0" customWidth="1"/>
  </cols>
  <sheetData>
    <row r="1" spans="1:18" ht="15">
      <c r="A1" s="1991" t="s">
        <v>1157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1991"/>
      <c r="M1" s="1991"/>
      <c r="N1" s="1991"/>
      <c r="O1" s="1991"/>
      <c r="P1" s="1991"/>
      <c r="Q1" s="1991"/>
      <c r="R1" s="1991"/>
    </row>
    <row r="2" spans="1:18" ht="12.75">
      <c r="A2" s="1747" t="s">
        <v>1133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  <c r="O2" s="1747"/>
      <c r="P2" s="1747"/>
      <c r="Q2" s="1747"/>
      <c r="R2" s="1747"/>
    </row>
    <row r="3" spans="1:18" ht="12.75">
      <c r="A3" s="1236"/>
      <c r="B3" s="1236"/>
      <c r="C3" s="1236"/>
      <c r="D3" s="1236"/>
      <c r="E3" s="1236"/>
      <c r="F3" s="1747" t="s">
        <v>1158</v>
      </c>
      <c r="G3" s="1747"/>
      <c r="H3" s="1747"/>
      <c r="I3" s="1747"/>
      <c r="J3" s="1747"/>
      <c r="K3" s="1747"/>
      <c r="L3" s="1747"/>
      <c r="M3" s="1747"/>
      <c r="N3" s="1236"/>
      <c r="O3" s="1236"/>
      <c r="P3" s="1236"/>
      <c r="Q3" s="1236"/>
      <c r="R3" s="1236"/>
    </row>
    <row r="4" spans="1:18" ht="12.75">
      <c r="A4" s="1236"/>
      <c r="B4" s="1236"/>
      <c r="C4" s="1236"/>
      <c r="D4" s="1236"/>
      <c r="E4" s="1236"/>
      <c r="F4" s="1236"/>
      <c r="G4" s="1236"/>
      <c r="H4" s="1236"/>
      <c r="I4" s="1236"/>
      <c r="J4" s="1236"/>
      <c r="K4" s="1236"/>
      <c r="L4" s="1236"/>
      <c r="M4" s="1236"/>
      <c r="N4" s="1236"/>
      <c r="O4" s="1236"/>
      <c r="P4" s="1236"/>
      <c r="Q4" s="1236"/>
      <c r="R4" s="1236"/>
    </row>
    <row r="5" spans="1:18" ht="12.75">
      <c r="A5" s="1236"/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</row>
    <row r="6" spans="1:18" ht="29.25" customHeight="1">
      <c r="A6" s="2004" t="s">
        <v>828</v>
      </c>
      <c r="B6" s="2004"/>
      <c r="C6" s="2004"/>
      <c r="D6" s="2004"/>
      <c r="E6" s="2004"/>
      <c r="F6" s="2004"/>
      <c r="G6" s="2004"/>
      <c r="H6" s="2004"/>
      <c r="I6" s="2004"/>
      <c r="J6" s="2004"/>
      <c r="K6" s="2004"/>
      <c r="L6" s="2004"/>
      <c r="M6" s="2004"/>
      <c r="N6" s="2004"/>
      <c r="O6" s="2004"/>
      <c r="P6" s="2004"/>
      <c r="Q6" s="2004"/>
      <c r="R6" s="2004"/>
    </row>
    <row r="9" spans="6:18" ht="13.5" thickBot="1">
      <c r="F9" s="2005" t="s">
        <v>219</v>
      </c>
      <c r="G9" s="2005"/>
      <c r="H9" s="2005"/>
      <c r="I9" s="2005"/>
      <c r="J9" s="2005"/>
      <c r="K9" s="2005"/>
      <c r="L9" s="2005"/>
      <c r="M9" s="2005"/>
      <c r="N9" s="2005"/>
      <c r="O9" s="2005"/>
      <c r="P9" s="2005"/>
      <c r="Q9" s="2005"/>
      <c r="R9" s="2005"/>
    </row>
    <row r="10" spans="1:18" ht="12.75">
      <c r="A10" s="1998" t="s">
        <v>812</v>
      </c>
      <c r="B10" s="1999"/>
      <c r="C10" s="2002" t="s">
        <v>802</v>
      </c>
      <c r="D10" s="2002"/>
      <c r="E10" s="2002"/>
      <c r="F10" s="2003"/>
      <c r="G10" s="2002" t="s">
        <v>888</v>
      </c>
      <c r="H10" s="2002"/>
      <c r="I10" s="2002"/>
      <c r="J10" s="2003"/>
      <c r="K10" s="2002" t="s">
        <v>889</v>
      </c>
      <c r="L10" s="2002"/>
      <c r="M10" s="2002"/>
      <c r="N10" s="2003"/>
      <c r="O10" s="2002" t="s">
        <v>948</v>
      </c>
      <c r="P10" s="2002"/>
      <c r="Q10" s="2002"/>
      <c r="R10" s="2003"/>
    </row>
    <row r="11" spans="1:18" s="5" customFormat="1" ht="48.75" customHeight="1" thickBot="1">
      <c r="A11" s="2000"/>
      <c r="B11" s="2001"/>
      <c r="C11" s="1286" t="s">
        <v>813</v>
      </c>
      <c r="D11" s="1286" t="s">
        <v>814</v>
      </c>
      <c r="E11" s="1286" t="s">
        <v>815</v>
      </c>
      <c r="F11" s="1287" t="s">
        <v>25</v>
      </c>
      <c r="G11" s="1286" t="s">
        <v>813</v>
      </c>
      <c r="H11" s="1286" t="s">
        <v>814</v>
      </c>
      <c r="I11" s="1286" t="s">
        <v>815</v>
      </c>
      <c r="J11" s="1287" t="s">
        <v>25</v>
      </c>
      <c r="K11" s="1286" t="s">
        <v>813</v>
      </c>
      <c r="L11" s="1286" t="s">
        <v>814</v>
      </c>
      <c r="M11" s="1286" t="s">
        <v>815</v>
      </c>
      <c r="N11" s="1287" t="s">
        <v>25</v>
      </c>
      <c r="O11" s="1286" t="s">
        <v>813</v>
      </c>
      <c r="P11" s="1286" t="s">
        <v>814</v>
      </c>
      <c r="Q11" s="1286" t="s">
        <v>815</v>
      </c>
      <c r="R11" s="1287" t="s">
        <v>25</v>
      </c>
    </row>
    <row r="12" spans="1:18" s="12" customFormat="1" ht="26.25" thickBot="1">
      <c r="A12" s="1282" t="s">
        <v>167</v>
      </c>
      <c r="B12" s="1283" t="s">
        <v>818</v>
      </c>
      <c r="C12" s="1284">
        <f>SUM(C13)</f>
        <v>0</v>
      </c>
      <c r="D12" s="1284">
        <f>SUM(D13)</f>
        <v>15000</v>
      </c>
      <c r="E12" s="1284">
        <v>0</v>
      </c>
      <c r="F12" s="1285">
        <f>SUM(F13)</f>
        <v>15000</v>
      </c>
      <c r="G12" s="1284">
        <f>SUM(G13)</f>
        <v>0</v>
      </c>
      <c r="H12" s="1284">
        <f>SUM(H13)</f>
        <v>15000</v>
      </c>
      <c r="I12" s="1284">
        <v>0</v>
      </c>
      <c r="J12" s="1285">
        <f>SUM(J13)</f>
        <v>15000</v>
      </c>
      <c r="K12" s="1284">
        <f>SUM(K13)</f>
        <v>0</v>
      </c>
      <c r="L12" s="1284">
        <f>SUM(L13)</f>
        <v>15000</v>
      </c>
      <c r="M12" s="1284">
        <v>0</v>
      </c>
      <c r="N12" s="1285">
        <f>SUM(N13)</f>
        <v>15000</v>
      </c>
      <c r="O12" s="1284">
        <f>SUM(O13)</f>
        <v>0</v>
      </c>
      <c r="P12" s="1284">
        <v>65000</v>
      </c>
      <c r="Q12" s="1284">
        <v>0</v>
      </c>
      <c r="R12" s="1285">
        <f>SUM(R13)</f>
        <v>65000</v>
      </c>
    </row>
    <row r="13" spans="1:18" s="148" customFormat="1" ht="26.25" thickBot="1">
      <c r="A13" s="1278"/>
      <c r="B13" s="1249" t="s">
        <v>816</v>
      </c>
      <c r="C13" s="1264">
        <v>0</v>
      </c>
      <c r="D13" s="1264">
        <v>15000</v>
      </c>
      <c r="E13" s="1264"/>
      <c r="F13" s="1264">
        <f aca="true" t="shared" si="0" ref="F13:F18">SUM(C13:E13)</f>
        <v>15000</v>
      </c>
      <c r="G13" s="1264">
        <v>0</v>
      </c>
      <c r="H13" s="1264">
        <v>15000</v>
      </c>
      <c r="I13" s="1264"/>
      <c r="J13" s="1264">
        <f aca="true" t="shared" si="1" ref="J13:J18">SUM(G13:I13)</f>
        <v>15000</v>
      </c>
      <c r="K13" s="1264">
        <v>0</v>
      </c>
      <c r="L13" s="1264">
        <v>15000</v>
      </c>
      <c r="M13" s="1264"/>
      <c r="N13" s="1264">
        <f aca="true" t="shared" si="2" ref="N13:N18">SUM(K13:M13)</f>
        <v>15000</v>
      </c>
      <c r="O13" s="1264">
        <v>0</v>
      </c>
      <c r="P13" s="1264">
        <v>65000</v>
      </c>
      <c r="Q13" s="1264"/>
      <c r="R13" s="1264">
        <f aca="true" t="shared" si="3" ref="R13:R18">SUM(O13:Q13)</f>
        <v>65000</v>
      </c>
    </row>
    <row r="14" spans="1:18" s="12" customFormat="1" ht="13.5" thickBot="1">
      <c r="A14" s="1277" t="s">
        <v>169</v>
      </c>
      <c r="B14" s="1251" t="s">
        <v>817</v>
      </c>
      <c r="C14" s="1262">
        <f>SUM(C15:C18)</f>
        <v>1840000</v>
      </c>
      <c r="D14" s="1262">
        <f>SUM(D15:D18)</f>
        <v>770</v>
      </c>
      <c r="E14" s="1262">
        <v>0</v>
      </c>
      <c r="F14" s="1263">
        <f t="shared" si="0"/>
        <v>1840770</v>
      </c>
      <c r="G14" s="1262">
        <f>SUM(G15:G18)</f>
        <v>1840000</v>
      </c>
      <c r="H14" s="1262">
        <f>SUM(H15:H18)</f>
        <v>770</v>
      </c>
      <c r="I14" s="1262">
        <v>0</v>
      </c>
      <c r="J14" s="1263">
        <f t="shared" si="1"/>
        <v>1840770</v>
      </c>
      <c r="K14" s="1262">
        <f>SUM(K15:K18)</f>
        <v>1840000</v>
      </c>
      <c r="L14" s="1262">
        <f>SUM(L15:L18)</f>
        <v>770</v>
      </c>
      <c r="M14" s="1262">
        <v>0</v>
      </c>
      <c r="N14" s="1263">
        <f t="shared" si="2"/>
        <v>1840770</v>
      </c>
      <c r="O14" s="1262">
        <f>SUM(O15:O18)</f>
        <v>1410080</v>
      </c>
      <c r="P14" s="1262">
        <f>SUM(P15:P18)</f>
        <v>34</v>
      </c>
      <c r="Q14" s="1262">
        <v>0</v>
      </c>
      <c r="R14" s="1263">
        <f t="shared" si="3"/>
        <v>1410114</v>
      </c>
    </row>
    <row r="15" spans="1:18" s="148" customFormat="1" ht="12.75">
      <c r="A15" s="1279"/>
      <c r="B15" s="1245" t="s">
        <v>819</v>
      </c>
      <c r="C15" s="1265">
        <v>1440000</v>
      </c>
      <c r="D15" s="1266"/>
      <c r="E15" s="1266"/>
      <c r="F15" s="1266">
        <f t="shared" si="0"/>
        <v>1440000</v>
      </c>
      <c r="G15" s="1265">
        <v>1440000</v>
      </c>
      <c r="H15" s="1266"/>
      <c r="I15" s="1266"/>
      <c r="J15" s="1266">
        <f t="shared" si="1"/>
        <v>1440000</v>
      </c>
      <c r="K15" s="1265">
        <v>1440000</v>
      </c>
      <c r="L15" s="1266"/>
      <c r="M15" s="1266"/>
      <c r="N15" s="1266">
        <f t="shared" si="2"/>
        <v>1440000</v>
      </c>
      <c r="O15" s="1265">
        <v>1110294</v>
      </c>
      <c r="P15" s="1266"/>
      <c r="Q15" s="1266"/>
      <c r="R15" s="1266">
        <f t="shared" si="3"/>
        <v>1110294</v>
      </c>
    </row>
    <row r="16" spans="1:18" s="148" customFormat="1" ht="25.5">
      <c r="A16" s="1280"/>
      <c r="B16" s="1241" t="s">
        <v>820</v>
      </c>
      <c r="C16" s="1267">
        <v>400000</v>
      </c>
      <c r="D16" s="1260"/>
      <c r="E16" s="1260"/>
      <c r="F16" s="1260">
        <f t="shared" si="0"/>
        <v>400000</v>
      </c>
      <c r="G16" s="1267">
        <v>400000</v>
      </c>
      <c r="H16" s="1260"/>
      <c r="I16" s="1260"/>
      <c r="J16" s="1260">
        <f t="shared" si="1"/>
        <v>400000</v>
      </c>
      <c r="K16" s="1267">
        <v>400000</v>
      </c>
      <c r="L16" s="1260"/>
      <c r="M16" s="1260"/>
      <c r="N16" s="1260">
        <f t="shared" si="2"/>
        <v>400000</v>
      </c>
      <c r="O16" s="1267">
        <v>299786</v>
      </c>
      <c r="P16" s="1260"/>
      <c r="Q16" s="1260"/>
      <c r="R16" s="1260">
        <f t="shared" si="3"/>
        <v>299786</v>
      </c>
    </row>
    <row r="17" spans="1:18" s="148" customFormat="1" ht="25.5">
      <c r="A17" s="1280"/>
      <c r="B17" s="1241" t="s">
        <v>821</v>
      </c>
      <c r="C17" s="1267">
        <v>0</v>
      </c>
      <c r="D17" s="1260">
        <v>700</v>
      </c>
      <c r="E17" s="1260"/>
      <c r="F17" s="1260">
        <f t="shared" si="0"/>
        <v>700</v>
      </c>
      <c r="G17" s="1267">
        <v>0</v>
      </c>
      <c r="H17" s="1260">
        <v>700</v>
      </c>
      <c r="I17" s="1260"/>
      <c r="J17" s="1260">
        <f t="shared" si="1"/>
        <v>700</v>
      </c>
      <c r="K17" s="1267">
        <v>0</v>
      </c>
      <c r="L17" s="1260">
        <v>700</v>
      </c>
      <c r="M17" s="1260"/>
      <c r="N17" s="1260">
        <f t="shared" si="2"/>
        <v>700</v>
      </c>
      <c r="O17" s="1267">
        <v>0</v>
      </c>
      <c r="P17" s="1260">
        <v>26</v>
      </c>
      <c r="Q17" s="1260"/>
      <c r="R17" s="1260">
        <f t="shared" si="3"/>
        <v>26</v>
      </c>
    </row>
    <row r="18" spans="1:18" s="148" customFormat="1" ht="25.5">
      <c r="A18" s="1280"/>
      <c r="B18" s="1241" t="s">
        <v>822</v>
      </c>
      <c r="C18" s="1267">
        <v>0</v>
      </c>
      <c r="D18" s="1260">
        <v>70</v>
      </c>
      <c r="E18" s="1260"/>
      <c r="F18" s="1260">
        <f t="shared" si="0"/>
        <v>70</v>
      </c>
      <c r="G18" s="1267">
        <v>0</v>
      </c>
      <c r="H18" s="1260">
        <v>70</v>
      </c>
      <c r="I18" s="1260"/>
      <c r="J18" s="1260">
        <f t="shared" si="1"/>
        <v>70</v>
      </c>
      <c r="K18" s="1267">
        <v>0</v>
      </c>
      <c r="L18" s="1260">
        <v>70</v>
      </c>
      <c r="M18" s="1260"/>
      <c r="N18" s="1260">
        <f t="shared" si="2"/>
        <v>70</v>
      </c>
      <c r="O18" s="1267">
        <v>0</v>
      </c>
      <c r="P18" s="1260">
        <v>8</v>
      </c>
      <c r="Q18" s="1260"/>
      <c r="R18" s="1260">
        <f t="shared" si="3"/>
        <v>8</v>
      </c>
    </row>
    <row r="19" spans="1:18" s="879" customFormat="1" ht="30.75" thickBot="1">
      <c r="A19" s="1566" t="s">
        <v>176</v>
      </c>
      <c r="B19" s="1567" t="s">
        <v>189</v>
      </c>
      <c r="C19" s="1568"/>
      <c r="D19" s="1569"/>
      <c r="E19" s="1569"/>
      <c r="F19" s="1570"/>
      <c r="G19" s="1568"/>
      <c r="H19" s="1569"/>
      <c r="I19" s="1569"/>
      <c r="J19" s="1570"/>
      <c r="K19" s="1568"/>
      <c r="L19" s="1569"/>
      <c r="M19" s="1569"/>
      <c r="N19" s="1570"/>
      <c r="O19" s="1568"/>
      <c r="P19" s="1569">
        <v>186267</v>
      </c>
      <c r="Q19" s="1569"/>
      <c r="R19" s="1571">
        <v>186267</v>
      </c>
    </row>
    <row r="20" spans="1:18" s="12" customFormat="1" ht="26.25" thickBot="1">
      <c r="A20" s="1277" t="s">
        <v>952</v>
      </c>
      <c r="B20" s="1248" t="s">
        <v>823</v>
      </c>
      <c r="C20" s="1262"/>
      <c r="D20" s="1262">
        <v>800000</v>
      </c>
      <c r="E20" s="1262"/>
      <c r="F20" s="1263">
        <v>800000</v>
      </c>
      <c r="G20" s="1262"/>
      <c r="H20" s="1262">
        <v>800000</v>
      </c>
      <c r="I20" s="1262"/>
      <c r="J20" s="1263">
        <v>800000</v>
      </c>
      <c r="K20" s="1262"/>
      <c r="L20" s="1262">
        <v>800000</v>
      </c>
      <c r="M20" s="1262"/>
      <c r="N20" s="1263">
        <v>800000</v>
      </c>
      <c r="O20" s="1262"/>
      <c r="P20" s="1262">
        <v>800000</v>
      </c>
      <c r="Q20" s="1262"/>
      <c r="R20" s="1285">
        <v>800000</v>
      </c>
    </row>
    <row r="21" spans="1:18" s="879" customFormat="1" ht="16.5" thickBot="1">
      <c r="A21" s="2006" t="s">
        <v>532</v>
      </c>
      <c r="B21" s="2007"/>
      <c r="C21" s="1269">
        <f>SUM(C12+C14+C20)</f>
        <v>1840000</v>
      </c>
      <c r="D21" s="1269">
        <f>SUM(D12+D14+D20)</f>
        <v>815770</v>
      </c>
      <c r="E21" s="1269">
        <v>0</v>
      </c>
      <c r="F21" s="1270">
        <f>SUM(F12+F14+F20)</f>
        <v>2655770</v>
      </c>
      <c r="G21" s="1269">
        <f>SUM(G12+G14+G20)</f>
        <v>1840000</v>
      </c>
      <c r="H21" s="1269">
        <f>SUM(H12+H14+H20)</f>
        <v>815770</v>
      </c>
      <c r="I21" s="1269">
        <v>0</v>
      </c>
      <c r="J21" s="1270">
        <f>SUM(J12+J14+J20)</f>
        <v>2655770</v>
      </c>
      <c r="K21" s="1269">
        <f>SUM(K12+K14+K20)</f>
        <v>1840000</v>
      </c>
      <c r="L21" s="1269">
        <f>SUM(L12+L14+L20)</f>
        <v>815770</v>
      </c>
      <c r="M21" s="1269">
        <v>0</v>
      </c>
      <c r="N21" s="1270">
        <f>SUM(N12+N14+N20)</f>
        <v>2655770</v>
      </c>
      <c r="O21" s="1269">
        <f>SUM(O12+O14+O20)</f>
        <v>1410080</v>
      </c>
      <c r="P21" s="1269">
        <f>SUM(P12+P14+P20)+P19</f>
        <v>1051301</v>
      </c>
      <c r="Q21" s="1269">
        <f>SUM(Q12+Q14+Q20)+Q19</f>
        <v>0</v>
      </c>
      <c r="R21" s="1269">
        <f>SUM(R12+R14+R20)+R19</f>
        <v>2461381</v>
      </c>
    </row>
    <row r="22" spans="1:18" ht="38.25">
      <c r="A22" s="1250"/>
      <c r="B22" s="1238" t="s">
        <v>824</v>
      </c>
      <c r="C22" s="1271">
        <v>455730</v>
      </c>
      <c r="D22" s="1271"/>
      <c r="E22" s="1271"/>
      <c r="F22" s="1271">
        <v>455730</v>
      </c>
      <c r="G22" s="1271">
        <v>455730</v>
      </c>
      <c r="H22" s="1271"/>
      <c r="I22" s="1271"/>
      <c r="J22" s="1271">
        <v>455730</v>
      </c>
      <c r="K22" s="1271">
        <v>455730</v>
      </c>
      <c r="L22" s="1271"/>
      <c r="M22" s="1271"/>
      <c r="N22" s="1271">
        <v>455730</v>
      </c>
      <c r="O22" s="1271">
        <v>455730</v>
      </c>
      <c r="P22" s="1271"/>
      <c r="Q22" s="1271"/>
      <c r="R22" s="1271">
        <v>455730</v>
      </c>
    </row>
    <row r="23" spans="1:18" ht="12.75">
      <c r="A23" s="644"/>
      <c r="B23" s="1239" t="s">
        <v>825</v>
      </c>
      <c r="C23" s="1272">
        <v>455730</v>
      </c>
      <c r="D23" s="1272"/>
      <c r="E23" s="1272"/>
      <c r="F23" s="1272">
        <v>455730</v>
      </c>
      <c r="G23" s="1272">
        <v>455730</v>
      </c>
      <c r="H23" s="1272"/>
      <c r="I23" s="1272"/>
      <c r="J23" s="1272">
        <v>455730</v>
      </c>
      <c r="K23" s="1272">
        <v>455730</v>
      </c>
      <c r="L23" s="1272"/>
      <c r="M23" s="1272"/>
      <c r="N23" s="1272">
        <v>455730</v>
      </c>
      <c r="O23" s="1272">
        <v>455730</v>
      </c>
      <c r="P23" s="1272"/>
      <c r="Q23" s="1272"/>
      <c r="R23" s="1272">
        <v>455730</v>
      </c>
    </row>
    <row r="24" spans="1:18" ht="26.25" thickBot="1">
      <c r="A24" s="1252"/>
      <c r="B24" s="1253" t="s">
        <v>826</v>
      </c>
      <c r="C24" s="1273">
        <v>92159974</v>
      </c>
      <c r="D24" s="1273">
        <v>18114921</v>
      </c>
      <c r="E24" s="1273"/>
      <c r="F24" s="1273">
        <v>110274895</v>
      </c>
      <c r="G24" s="1273">
        <v>92159974</v>
      </c>
      <c r="H24" s="1273">
        <v>18114921</v>
      </c>
      <c r="I24" s="1273"/>
      <c r="J24" s="1273">
        <v>110274895</v>
      </c>
      <c r="K24" s="1273">
        <v>92159974</v>
      </c>
      <c r="L24" s="1273">
        <v>18296542</v>
      </c>
      <c r="M24" s="1273"/>
      <c r="N24" s="1273">
        <f>SUM(K24:L24)</f>
        <v>110456516</v>
      </c>
      <c r="O24" s="1273">
        <v>102802605</v>
      </c>
      <c r="P24" s="1273">
        <v>12083582</v>
      </c>
      <c r="Q24" s="1273"/>
      <c r="R24" s="1273">
        <f>SUM(O24:P24)</f>
        <v>114886187</v>
      </c>
    </row>
    <row r="25" spans="1:18" ht="32.25" thickBot="1">
      <c r="A25" s="1256"/>
      <c r="B25" s="1257" t="s">
        <v>827</v>
      </c>
      <c r="C25" s="1274">
        <f aca="true" t="shared" si="4" ref="C25:N25">SUM(C23:C24)</f>
        <v>92615704</v>
      </c>
      <c r="D25" s="1274">
        <f t="shared" si="4"/>
        <v>18114921</v>
      </c>
      <c r="E25" s="1274">
        <f t="shared" si="4"/>
        <v>0</v>
      </c>
      <c r="F25" s="1274">
        <f t="shared" si="4"/>
        <v>110730625</v>
      </c>
      <c r="G25" s="1274">
        <f t="shared" si="4"/>
        <v>92615704</v>
      </c>
      <c r="H25" s="1274">
        <f t="shared" si="4"/>
        <v>18114921</v>
      </c>
      <c r="I25" s="1274">
        <f t="shared" si="4"/>
        <v>0</v>
      </c>
      <c r="J25" s="1274">
        <f t="shared" si="4"/>
        <v>110730625</v>
      </c>
      <c r="K25" s="1274">
        <f t="shared" si="4"/>
        <v>92615704</v>
      </c>
      <c r="L25" s="1274">
        <f t="shared" si="4"/>
        <v>18296542</v>
      </c>
      <c r="M25" s="1274">
        <f t="shared" si="4"/>
        <v>0</v>
      </c>
      <c r="N25" s="1274">
        <f t="shared" si="4"/>
        <v>110912246</v>
      </c>
      <c r="O25" s="1274">
        <f>SUM(O23:O24)</f>
        <v>103258335</v>
      </c>
      <c r="P25" s="1274">
        <f>SUM(P23:P24)</f>
        <v>12083582</v>
      </c>
      <c r="Q25" s="1274">
        <f>SUM(Q23:Q24)</f>
        <v>0</v>
      </c>
      <c r="R25" s="1274">
        <f>SUM(R23:R24)</f>
        <v>115341917</v>
      </c>
    </row>
    <row r="26" spans="1:18" ht="16.5" thickBot="1">
      <c r="A26" s="1996" t="s">
        <v>157</v>
      </c>
      <c r="B26" s="1997"/>
      <c r="C26" s="1275">
        <f aca="true" t="shared" si="5" ref="C26:N26">SUM(C21+C25)</f>
        <v>94455704</v>
      </c>
      <c r="D26" s="1275">
        <f t="shared" si="5"/>
        <v>18930691</v>
      </c>
      <c r="E26" s="1275">
        <f t="shared" si="5"/>
        <v>0</v>
      </c>
      <c r="F26" s="1276">
        <f t="shared" si="5"/>
        <v>113386395</v>
      </c>
      <c r="G26" s="1275">
        <f t="shared" si="5"/>
        <v>94455704</v>
      </c>
      <c r="H26" s="1275">
        <f t="shared" si="5"/>
        <v>18930691</v>
      </c>
      <c r="I26" s="1275">
        <f t="shared" si="5"/>
        <v>0</v>
      </c>
      <c r="J26" s="1276">
        <f t="shared" si="5"/>
        <v>113386395</v>
      </c>
      <c r="K26" s="1275">
        <f t="shared" si="5"/>
        <v>94455704</v>
      </c>
      <c r="L26" s="1275">
        <f t="shared" si="5"/>
        <v>19112312</v>
      </c>
      <c r="M26" s="1275">
        <f t="shared" si="5"/>
        <v>0</v>
      </c>
      <c r="N26" s="1276">
        <f t="shared" si="5"/>
        <v>113568016</v>
      </c>
      <c r="O26" s="1275">
        <f>SUM(O21+O25)</f>
        <v>104668415</v>
      </c>
      <c r="P26" s="1275">
        <f>SUM(P21+P25)</f>
        <v>13134883</v>
      </c>
      <c r="Q26" s="1275">
        <f>SUM(Q21+Q25)</f>
        <v>0</v>
      </c>
      <c r="R26" s="1276">
        <f>SUM(R21+R25)</f>
        <v>117803298</v>
      </c>
    </row>
    <row r="27" spans="1:18" ht="12.75">
      <c r="A27" s="1293" t="s">
        <v>167</v>
      </c>
      <c r="B27" s="1239" t="s">
        <v>829</v>
      </c>
      <c r="C27" s="1247">
        <v>60590200</v>
      </c>
      <c r="D27" s="1247">
        <v>14976534</v>
      </c>
      <c r="E27" s="1246"/>
      <c r="F27" s="1247">
        <f>SUM(C27:E27)</f>
        <v>75566734</v>
      </c>
      <c r="G27" s="1247">
        <v>60590200</v>
      </c>
      <c r="H27" s="1247">
        <v>14976534</v>
      </c>
      <c r="I27" s="1246"/>
      <c r="J27" s="1247">
        <f>SUM(G27:I27)</f>
        <v>75566734</v>
      </c>
      <c r="K27" s="1247">
        <v>60590200</v>
      </c>
      <c r="L27" s="1247">
        <v>15125404</v>
      </c>
      <c r="M27" s="1246"/>
      <c r="N27" s="1247">
        <f>SUM(K27:M27)</f>
        <v>75715604</v>
      </c>
      <c r="O27" s="1247">
        <f>SUM(75126605-7363404-240478)</f>
        <v>67522723</v>
      </c>
      <c r="P27" s="1247">
        <f>SUM(240478+7363404)</f>
        <v>7603882</v>
      </c>
      <c r="Q27" s="1246"/>
      <c r="R27" s="1247">
        <f>SUM(O27:Q27)</f>
        <v>75126605</v>
      </c>
    </row>
    <row r="28" spans="1:18" ht="38.25">
      <c r="A28" s="1294" t="s">
        <v>169</v>
      </c>
      <c r="B28" s="1239" t="s">
        <v>830</v>
      </c>
      <c r="C28" s="1243">
        <v>13695504</v>
      </c>
      <c r="D28" s="1243">
        <v>3384157</v>
      </c>
      <c r="E28" s="1242"/>
      <c r="F28" s="1247">
        <f>SUM(C28:E28)</f>
        <v>17079661</v>
      </c>
      <c r="G28" s="1243">
        <v>13695504</v>
      </c>
      <c r="H28" s="1243">
        <v>3384157</v>
      </c>
      <c r="I28" s="1242"/>
      <c r="J28" s="1247">
        <f>SUM(G28:I28)</f>
        <v>17079661</v>
      </c>
      <c r="K28" s="1243">
        <v>13695504</v>
      </c>
      <c r="L28" s="1243">
        <v>3416908</v>
      </c>
      <c r="M28" s="1242"/>
      <c r="N28" s="1247">
        <f>SUM(K28:M28)</f>
        <v>17112412</v>
      </c>
      <c r="O28" s="1243">
        <f>SUM(17578583-55505-1660908)</f>
        <v>15862170</v>
      </c>
      <c r="P28" s="1243">
        <f>SUM(1660908+55505)</f>
        <v>1716413</v>
      </c>
      <c r="Q28" s="1242"/>
      <c r="R28" s="1247">
        <f>SUM(O28:Q28)</f>
        <v>17578583</v>
      </c>
    </row>
    <row r="29" spans="1:18" s="12" customFormat="1" ht="12.75">
      <c r="A29" s="1294" t="s">
        <v>176</v>
      </c>
      <c r="B29" s="1037" t="s">
        <v>831</v>
      </c>
      <c r="C29" s="1243">
        <v>19163037</v>
      </c>
      <c r="D29" s="1243">
        <v>570000</v>
      </c>
      <c r="E29" s="1243"/>
      <c r="F29" s="1247">
        <f>SUM(C29:E29)</f>
        <v>19733037</v>
      </c>
      <c r="G29" s="1243">
        <v>19163037</v>
      </c>
      <c r="H29" s="1243">
        <v>570000</v>
      </c>
      <c r="I29" s="1243"/>
      <c r="J29" s="1247">
        <f>SUM(G29:I29)</f>
        <v>19733037</v>
      </c>
      <c r="K29" s="1243">
        <v>19163037</v>
      </c>
      <c r="L29" s="1243">
        <v>570000</v>
      </c>
      <c r="M29" s="1243"/>
      <c r="N29" s="1247">
        <f>SUM(K29:M29)</f>
        <v>19733037</v>
      </c>
      <c r="O29" s="1243">
        <f>SUM(24203522-2920000)</f>
        <v>21283522</v>
      </c>
      <c r="P29" s="1243">
        <f>SUM(2500000+420000)</f>
        <v>2920000</v>
      </c>
      <c r="Q29" s="1243"/>
      <c r="R29" s="1247">
        <f>SUM(O29:Q29)</f>
        <v>24203522</v>
      </c>
    </row>
    <row r="30" spans="1:18" s="12" customFormat="1" ht="12.75">
      <c r="A30" s="1294" t="s">
        <v>186</v>
      </c>
      <c r="B30" s="1037" t="s">
        <v>832</v>
      </c>
      <c r="C30" s="1288">
        <f>SUM(C31:C32)</f>
        <v>1006963</v>
      </c>
      <c r="D30" s="1288">
        <f>SUM(D31:D32)</f>
        <v>0</v>
      </c>
      <c r="E30" s="1288">
        <f>SUM(E31:E32)</f>
        <v>0</v>
      </c>
      <c r="F30" s="1247">
        <f>SUM(C30:E30)</f>
        <v>1006963</v>
      </c>
      <c r="G30" s="1288">
        <f>SUM(G31:G32)</f>
        <v>1006963</v>
      </c>
      <c r="H30" s="1288">
        <f>SUM(H31:H32)</f>
        <v>0</v>
      </c>
      <c r="I30" s="1288">
        <f>SUM(I31:I32)</f>
        <v>0</v>
      </c>
      <c r="J30" s="1247">
        <f>SUM(G30:I30)</f>
        <v>1006963</v>
      </c>
      <c r="K30" s="1288">
        <f>SUM(K31:K32)</f>
        <v>1006963</v>
      </c>
      <c r="L30" s="1288">
        <f>SUM(L31:L32)</f>
        <v>0</v>
      </c>
      <c r="M30" s="1288">
        <f>SUM(M31:M32)</f>
        <v>0</v>
      </c>
      <c r="N30" s="1247">
        <f>SUM(K30:M30)</f>
        <v>1006963</v>
      </c>
      <c r="O30" s="1288">
        <f>SUM(O31:O32)</f>
        <v>0</v>
      </c>
      <c r="P30" s="1288">
        <f>SUM(P31:P32)</f>
        <v>894588</v>
      </c>
      <c r="Q30" s="1288">
        <f>SUM(Q31:Q32)</f>
        <v>0</v>
      </c>
      <c r="R30" s="1247">
        <f>SUM(O30:Q30)</f>
        <v>894588</v>
      </c>
    </row>
    <row r="31" spans="1:18" s="148" customFormat="1" ht="12.75">
      <c r="A31" s="1240"/>
      <c r="B31" s="1240" t="s">
        <v>132</v>
      </c>
      <c r="C31" s="1258">
        <v>1006963</v>
      </c>
      <c r="D31" s="1240"/>
      <c r="E31" s="1240"/>
      <c r="F31" s="1240">
        <v>1006963</v>
      </c>
      <c r="G31" s="1258">
        <v>1006963</v>
      </c>
      <c r="H31" s="1240"/>
      <c r="I31" s="1240"/>
      <c r="J31" s="1240">
        <v>1006963</v>
      </c>
      <c r="K31" s="1258">
        <v>1006963</v>
      </c>
      <c r="L31" s="1240"/>
      <c r="M31" s="1240"/>
      <c r="N31" s="1240">
        <v>1006963</v>
      </c>
      <c r="O31" s="1258"/>
      <c r="P31" s="1240">
        <v>894588</v>
      </c>
      <c r="Q31" s="1240"/>
      <c r="R31" s="1240">
        <v>1006963</v>
      </c>
    </row>
    <row r="32" spans="1:18" s="148" customFormat="1" ht="13.5" thickBot="1">
      <c r="A32" s="1259"/>
      <c r="B32" s="1259" t="s">
        <v>134</v>
      </c>
      <c r="C32" s="1259"/>
      <c r="D32" s="1259"/>
      <c r="E32" s="1259"/>
      <c r="F32" s="1259"/>
      <c r="G32" s="1259"/>
      <c r="H32" s="1259"/>
      <c r="I32" s="1259"/>
      <c r="J32" s="1259"/>
      <c r="K32" s="1259"/>
      <c r="L32" s="1259"/>
      <c r="M32" s="1259"/>
      <c r="N32" s="1259"/>
      <c r="O32" s="1259"/>
      <c r="P32" s="1259"/>
      <c r="Q32" s="1259"/>
      <c r="R32" s="1259"/>
    </row>
    <row r="33" spans="1:18" ht="16.5" thickBot="1">
      <c r="A33" s="1289"/>
      <c r="B33" s="1290" t="s">
        <v>833</v>
      </c>
      <c r="C33" s="1291">
        <f aca="true" t="shared" si="6" ref="C33:N33">SUM(C27:C30)</f>
        <v>94455704</v>
      </c>
      <c r="D33" s="1291">
        <f t="shared" si="6"/>
        <v>18930691</v>
      </c>
      <c r="E33" s="1291">
        <f t="shared" si="6"/>
        <v>0</v>
      </c>
      <c r="F33" s="1292">
        <f t="shared" si="6"/>
        <v>113386395</v>
      </c>
      <c r="G33" s="1291">
        <f t="shared" si="6"/>
        <v>94455704</v>
      </c>
      <c r="H33" s="1291">
        <f t="shared" si="6"/>
        <v>18930691</v>
      </c>
      <c r="I33" s="1291">
        <f t="shared" si="6"/>
        <v>0</v>
      </c>
      <c r="J33" s="1292">
        <f t="shared" si="6"/>
        <v>113386395</v>
      </c>
      <c r="K33" s="1291">
        <f t="shared" si="6"/>
        <v>94455704</v>
      </c>
      <c r="L33" s="1291">
        <f t="shared" si="6"/>
        <v>19112312</v>
      </c>
      <c r="M33" s="1291">
        <f t="shared" si="6"/>
        <v>0</v>
      </c>
      <c r="N33" s="1292">
        <f t="shared" si="6"/>
        <v>113568016</v>
      </c>
      <c r="O33" s="1291">
        <f>SUM(O27:O30)</f>
        <v>104668415</v>
      </c>
      <c r="P33" s="1291">
        <f>SUM(P27:P30)</f>
        <v>13134883</v>
      </c>
      <c r="Q33" s="1291">
        <f>SUM(Q27:Q30)</f>
        <v>0</v>
      </c>
      <c r="R33" s="1292">
        <f>SUM(R27:R30)</f>
        <v>117803298</v>
      </c>
    </row>
  </sheetData>
  <sheetProtection/>
  <mergeCells count="12">
    <mergeCell ref="O10:R10"/>
    <mergeCell ref="A2:R2"/>
    <mergeCell ref="A1:R1"/>
    <mergeCell ref="A6:R6"/>
    <mergeCell ref="F9:R9"/>
    <mergeCell ref="A21:B21"/>
    <mergeCell ref="A26:B26"/>
    <mergeCell ref="A10:B11"/>
    <mergeCell ref="G10:J10"/>
    <mergeCell ref="K10:N10"/>
    <mergeCell ref="C10:F10"/>
    <mergeCell ref="F3:M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R28"/>
  <sheetViews>
    <sheetView showGridLines="0" view="pageBreakPreview" zoomScale="60" zoomScalePageLayoutView="0" workbookViewId="0" topLeftCell="A1">
      <selection activeCell="A1" sqref="A1:N1"/>
    </sheetView>
  </sheetViews>
  <sheetFormatPr defaultColWidth="9.140625" defaultRowHeight="12.75"/>
  <cols>
    <col min="1" max="1" width="5.7109375" style="0" customWidth="1"/>
    <col min="2" max="2" width="34.421875" style="0" customWidth="1"/>
    <col min="3" max="3" width="16.421875" style="0" customWidth="1"/>
    <col min="4" max="4" width="16.7109375" style="0" customWidth="1"/>
    <col min="5" max="5" width="13.7109375" style="0" customWidth="1"/>
    <col min="6" max="6" width="17.28125" style="0" customWidth="1"/>
    <col min="7" max="7" width="18.7109375" style="0" customWidth="1"/>
    <col min="8" max="8" width="16.7109375" style="0" customWidth="1"/>
    <col min="9" max="9" width="12.421875" style="0" customWidth="1"/>
    <col min="10" max="10" width="17.28125" style="0" customWidth="1"/>
    <col min="11" max="11" width="16.57421875" style="0" customWidth="1"/>
    <col min="12" max="12" width="16.7109375" style="0" customWidth="1"/>
    <col min="13" max="13" width="11.7109375" style="0" customWidth="1"/>
    <col min="14" max="14" width="17.28125" style="0" customWidth="1"/>
    <col min="15" max="15" width="16.57421875" style="0" customWidth="1"/>
    <col min="16" max="16" width="16.7109375" style="0" customWidth="1"/>
    <col min="17" max="17" width="11.7109375" style="0" customWidth="1"/>
    <col min="18" max="18" width="17.28125" style="0" customWidth="1"/>
  </cols>
  <sheetData>
    <row r="1" spans="1:14" ht="15">
      <c r="A1" s="2008" t="s">
        <v>1160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</row>
    <row r="2" spans="1:18" ht="12.75">
      <c r="A2" s="1747" t="s">
        <v>1133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  <c r="O2" s="1747"/>
      <c r="P2" s="1747"/>
      <c r="Q2" s="1747"/>
      <c r="R2" s="1747"/>
    </row>
    <row r="3" spans="1:18" ht="12.75">
      <c r="A3" s="1236"/>
      <c r="B3" s="1236"/>
      <c r="C3" s="1236"/>
      <c r="D3" s="1236"/>
      <c r="E3" s="1236"/>
      <c r="F3" s="1747" t="s">
        <v>1159</v>
      </c>
      <c r="G3" s="1747"/>
      <c r="H3" s="1747"/>
      <c r="I3" s="1747"/>
      <c r="J3" s="1747"/>
      <c r="K3" s="1747"/>
      <c r="L3" s="1747"/>
      <c r="M3" s="1747"/>
      <c r="N3" s="1236"/>
      <c r="O3" s="1236"/>
      <c r="P3" s="1236"/>
      <c r="Q3" s="1236"/>
      <c r="R3" s="1236"/>
    </row>
    <row r="4" spans="1:18" ht="12.75">
      <c r="A4" s="1236"/>
      <c r="B4" s="1236"/>
      <c r="C4" s="1236"/>
      <c r="D4" s="1236"/>
      <c r="E4" s="1236"/>
      <c r="F4" s="1236"/>
      <c r="G4" s="1236"/>
      <c r="H4" s="1236"/>
      <c r="I4" s="1236"/>
      <c r="J4" s="1236"/>
      <c r="K4" s="1236"/>
      <c r="L4" s="1236"/>
      <c r="M4" s="1236"/>
      <c r="N4" s="1236"/>
      <c r="O4" s="1236"/>
      <c r="P4" s="1236"/>
      <c r="Q4" s="1236"/>
      <c r="R4" s="1236"/>
    </row>
    <row r="5" spans="1:18" ht="12.75">
      <c r="A5" s="1236"/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</row>
    <row r="6" spans="1:18" ht="29.25" customHeight="1">
      <c r="A6" s="2004" t="s">
        <v>923</v>
      </c>
      <c r="B6" s="2004"/>
      <c r="C6" s="2004"/>
      <c r="D6" s="2004"/>
      <c r="E6" s="2004"/>
      <c r="F6" s="2004"/>
      <c r="G6" s="2004"/>
      <c r="H6" s="2004"/>
      <c r="I6" s="2004"/>
      <c r="J6" s="2004"/>
      <c r="K6" s="2004"/>
      <c r="L6" s="2004"/>
      <c r="M6" s="2004"/>
      <c r="N6" s="2004"/>
      <c r="O6" s="2004"/>
      <c r="P6" s="2004"/>
      <c r="Q6" s="2004"/>
      <c r="R6" s="2004"/>
    </row>
    <row r="9" spans="6:18" ht="13.5" thickBot="1">
      <c r="F9" s="2005" t="s">
        <v>219</v>
      </c>
      <c r="G9" s="2005"/>
      <c r="H9" s="2005"/>
      <c r="I9" s="2005"/>
      <c r="J9" s="2005"/>
      <c r="K9" s="2005"/>
      <c r="L9" s="2005"/>
      <c r="M9" s="2005"/>
      <c r="N9" s="2005"/>
      <c r="O9" s="2005"/>
      <c r="P9" s="2005"/>
      <c r="Q9" s="2005"/>
      <c r="R9" s="2005"/>
    </row>
    <row r="10" spans="1:18" ht="12.75">
      <c r="A10" s="1998" t="s">
        <v>812</v>
      </c>
      <c r="B10" s="1999"/>
      <c r="C10" s="2002" t="s">
        <v>802</v>
      </c>
      <c r="D10" s="2002"/>
      <c r="E10" s="2002"/>
      <c r="F10" s="2003"/>
      <c r="G10" s="2002" t="s">
        <v>888</v>
      </c>
      <c r="H10" s="2002"/>
      <c r="I10" s="2002"/>
      <c r="J10" s="2003"/>
      <c r="K10" s="2002" t="s">
        <v>889</v>
      </c>
      <c r="L10" s="2002"/>
      <c r="M10" s="2002"/>
      <c r="N10" s="2003"/>
      <c r="O10" s="2002" t="s">
        <v>948</v>
      </c>
      <c r="P10" s="2002"/>
      <c r="Q10" s="2002"/>
      <c r="R10" s="2003"/>
    </row>
    <row r="11" spans="1:18" s="5" customFormat="1" ht="39.75" customHeight="1" thickBot="1">
      <c r="A11" s="2000"/>
      <c r="B11" s="2001"/>
      <c r="C11" s="1286" t="s">
        <v>813</v>
      </c>
      <c r="D11" s="1286" t="s">
        <v>814</v>
      </c>
      <c r="E11" s="1286" t="s">
        <v>815</v>
      </c>
      <c r="F11" s="1287" t="s">
        <v>25</v>
      </c>
      <c r="G11" s="1286" t="s">
        <v>813</v>
      </c>
      <c r="H11" s="1286" t="s">
        <v>814</v>
      </c>
      <c r="I11" s="1286" t="s">
        <v>815</v>
      </c>
      <c r="J11" s="1287" t="s">
        <v>25</v>
      </c>
      <c r="K11" s="1286" t="s">
        <v>813</v>
      </c>
      <c r="L11" s="1286" t="s">
        <v>814</v>
      </c>
      <c r="M11" s="1286" t="s">
        <v>815</v>
      </c>
      <c r="N11" s="1287" t="s">
        <v>25</v>
      </c>
      <c r="O11" s="1286" t="s">
        <v>813</v>
      </c>
      <c r="P11" s="1286" t="s">
        <v>814</v>
      </c>
      <c r="Q11" s="1286" t="s">
        <v>815</v>
      </c>
      <c r="R11" s="1287" t="s">
        <v>25</v>
      </c>
    </row>
    <row r="12" spans="1:18" s="12" customFormat="1" ht="13.5" thickBot="1">
      <c r="A12" s="1277" t="s">
        <v>167</v>
      </c>
      <c r="B12" s="1251" t="s">
        <v>817</v>
      </c>
      <c r="C12" s="1262">
        <f>SUM(C13:C15)</f>
        <v>0</v>
      </c>
      <c r="D12" s="1262">
        <f>SUM(D13:D15)</f>
        <v>299993</v>
      </c>
      <c r="E12" s="1262">
        <v>0</v>
      </c>
      <c r="F12" s="1263">
        <f>SUM(C12:E12)</f>
        <v>299993</v>
      </c>
      <c r="G12" s="1262">
        <f>SUM(G13:G15)</f>
        <v>0</v>
      </c>
      <c r="H12" s="1262">
        <f>SUM(H13:H15)</f>
        <v>299993</v>
      </c>
      <c r="I12" s="1262">
        <v>0</v>
      </c>
      <c r="J12" s="1263">
        <f>SUM(G12:I12)</f>
        <v>299993</v>
      </c>
      <c r="K12" s="1262">
        <f>SUM(K13:K15)</f>
        <v>0</v>
      </c>
      <c r="L12" s="1262">
        <v>402100</v>
      </c>
      <c r="M12" s="1262">
        <v>0</v>
      </c>
      <c r="N12" s="1263">
        <f>SUM(K12:M12)</f>
        <v>402100</v>
      </c>
      <c r="O12" s="1262">
        <f>SUM(O13:O15)</f>
        <v>0</v>
      </c>
      <c r="P12" s="1262">
        <f>SUM(P13:P15)</f>
        <v>508048</v>
      </c>
      <c r="Q12" s="1262">
        <v>0</v>
      </c>
      <c r="R12" s="1263">
        <f>SUM(O12:Q12)</f>
        <v>508048</v>
      </c>
    </row>
    <row r="13" spans="1:18" s="148" customFormat="1" ht="12.75">
      <c r="A13" s="1279"/>
      <c r="B13" s="1238" t="s">
        <v>834</v>
      </c>
      <c r="C13" s="1265"/>
      <c r="D13" s="1266">
        <v>297893</v>
      </c>
      <c r="E13" s="1266"/>
      <c r="F13" s="1266">
        <f>SUM(C13:E13)</f>
        <v>297893</v>
      </c>
      <c r="G13" s="1265"/>
      <c r="H13" s="1266">
        <v>297893</v>
      </c>
      <c r="I13" s="1266"/>
      <c r="J13" s="1266">
        <f>SUM(G13:I13)</f>
        <v>297893</v>
      </c>
      <c r="K13" s="1265"/>
      <c r="L13" s="1266">
        <v>400000</v>
      </c>
      <c r="M13" s="1266"/>
      <c r="N13" s="1266">
        <f>SUM(K13:M13)</f>
        <v>400000</v>
      </c>
      <c r="O13" s="1265"/>
      <c r="P13" s="1266">
        <v>507000</v>
      </c>
      <c r="Q13" s="1266"/>
      <c r="R13" s="1266">
        <f>SUM(O13:Q13)</f>
        <v>507000</v>
      </c>
    </row>
    <row r="14" spans="1:18" s="148" customFormat="1" ht="25.5">
      <c r="A14" s="1280"/>
      <c r="B14" s="1238" t="s">
        <v>821</v>
      </c>
      <c r="C14" s="1267">
        <v>0</v>
      </c>
      <c r="D14" s="1260">
        <v>100</v>
      </c>
      <c r="E14" s="1260"/>
      <c r="F14" s="1260">
        <f>SUM(C14:E14)</f>
        <v>100</v>
      </c>
      <c r="G14" s="1267">
        <v>0</v>
      </c>
      <c r="H14" s="1260">
        <v>100</v>
      </c>
      <c r="I14" s="1260"/>
      <c r="J14" s="1260">
        <f>SUM(G14:I14)</f>
        <v>100</v>
      </c>
      <c r="K14" s="1267">
        <v>0</v>
      </c>
      <c r="L14" s="1260">
        <v>100</v>
      </c>
      <c r="M14" s="1260"/>
      <c r="N14" s="1260">
        <f>SUM(K14:M14)</f>
        <v>100</v>
      </c>
      <c r="O14" s="1267">
        <v>0</v>
      </c>
      <c r="P14" s="1260">
        <v>3</v>
      </c>
      <c r="Q14" s="1260"/>
      <c r="R14" s="1260">
        <f>SUM(O14:Q14)</f>
        <v>3</v>
      </c>
    </row>
    <row r="15" spans="1:18" s="148" customFormat="1" ht="13.5" thickBot="1">
      <c r="A15" s="1281"/>
      <c r="B15" s="1238" t="s">
        <v>835</v>
      </c>
      <c r="C15" s="1268">
        <v>0</v>
      </c>
      <c r="D15" s="1261">
        <v>2000</v>
      </c>
      <c r="E15" s="1261"/>
      <c r="F15" s="1261">
        <f>SUM(C15:E15)</f>
        <v>2000</v>
      </c>
      <c r="G15" s="1268">
        <v>0</v>
      </c>
      <c r="H15" s="1261">
        <v>2000</v>
      </c>
      <c r="I15" s="1261"/>
      <c r="J15" s="1261">
        <f>SUM(G15:I15)</f>
        <v>2000</v>
      </c>
      <c r="K15" s="1268">
        <v>0</v>
      </c>
      <c r="L15" s="1261">
        <v>2000</v>
      </c>
      <c r="M15" s="1261"/>
      <c r="N15" s="1261">
        <f>SUM(K15:M15)</f>
        <v>2000</v>
      </c>
      <c r="O15" s="1268">
        <v>0</v>
      </c>
      <c r="P15" s="1261">
        <v>1045</v>
      </c>
      <c r="Q15" s="1261"/>
      <c r="R15" s="1261">
        <f>SUM(O15:Q15)</f>
        <v>1045</v>
      </c>
    </row>
    <row r="16" spans="1:18" s="879" customFormat="1" ht="16.5" thickBot="1">
      <c r="A16" s="2006" t="s">
        <v>532</v>
      </c>
      <c r="B16" s="2007"/>
      <c r="C16" s="1269">
        <f aca="true" t="shared" si="0" ref="C16:N16">SUM(C12)</f>
        <v>0</v>
      </c>
      <c r="D16" s="1269">
        <f t="shared" si="0"/>
        <v>299993</v>
      </c>
      <c r="E16" s="1269">
        <f t="shared" si="0"/>
        <v>0</v>
      </c>
      <c r="F16" s="1269">
        <f t="shared" si="0"/>
        <v>299993</v>
      </c>
      <c r="G16" s="1269">
        <f t="shared" si="0"/>
        <v>0</v>
      </c>
      <c r="H16" s="1269">
        <f t="shared" si="0"/>
        <v>299993</v>
      </c>
      <c r="I16" s="1269">
        <f t="shared" si="0"/>
        <v>0</v>
      </c>
      <c r="J16" s="1269">
        <f t="shared" si="0"/>
        <v>299993</v>
      </c>
      <c r="K16" s="1269">
        <f t="shared" si="0"/>
        <v>0</v>
      </c>
      <c r="L16" s="1269">
        <f t="shared" si="0"/>
        <v>402100</v>
      </c>
      <c r="M16" s="1269">
        <f t="shared" si="0"/>
        <v>0</v>
      </c>
      <c r="N16" s="1269">
        <f t="shared" si="0"/>
        <v>402100</v>
      </c>
      <c r="O16" s="1269">
        <f>SUM(O12)</f>
        <v>0</v>
      </c>
      <c r="P16" s="1269">
        <f>SUM(P12)</f>
        <v>508048</v>
      </c>
      <c r="Q16" s="1269">
        <f>SUM(Q12)</f>
        <v>0</v>
      </c>
      <c r="R16" s="1269">
        <f>SUM(R12)</f>
        <v>508048</v>
      </c>
    </row>
    <row r="17" spans="1:18" ht="25.5">
      <c r="A17" s="1250"/>
      <c r="B17" s="1238" t="s">
        <v>824</v>
      </c>
      <c r="C17" s="1271">
        <v>325007</v>
      </c>
      <c r="D17" s="1271"/>
      <c r="E17" s="1271"/>
      <c r="F17" s="1271">
        <v>325007</v>
      </c>
      <c r="G17" s="1271">
        <v>325007</v>
      </c>
      <c r="H17" s="1271"/>
      <c r="I17" s="1271"/>
      <c r="J17" s="1271">
        <v>325007</v>
      </c>
      <c r="K17" s="1271">
        <v>325007</v>
      </c>
      <c r="L17" s="1271"/>
      <c r="M17" s="1271"/>
      <c r="N17" s="1271">
        <v>325007</v>
      </c>
      <c r="O17" s="1271">
        <v>325007</v>
      </c>
      <c r="P17" s="1271"/>
      <c r="Q17" s="1271"/>
      <c r="R17" s="1271">
        <v>325007</v>
      </c>
    </row>
    <row r="18" spans="1:18" ht="12.75">
      <c r="A18" s="644"/>
      <c r="B18" s="1239" t="s">
        <v>825</v>
      </c>
      <c r="C18" s="1272">
        <v>325007</v>
      </c>
      <c r="D18" s="1272"/>
      <c r="E18" s="1272"/>
      <c r="F18" s="1272">
        <v>325007</v>
      </c>
      <c r="G18" s="1272">
        <v>325007</v>
      </c>
      <c r="H18" s="1272"/>
      <c r="I18" s="1272"/>
      <c r="J18" s="1272">
        <v>325007</v>
      </c>
      <c r="K18" s="1272">
        <v>325007</v>
      </c>
      <c r="L18" s="1272"/>
      <c r="M18" s="1272"/>
      <c r="N18" s="1272">
        <v>325007</v>
      </c>
      <c r="O18" s="1272">
        <v>325007</v>
      </c>
      <c r="P18" s="1272"/>
      <c r="Q18" s="1272"/>
      <c r="R18" s="1272">
        <v>325007</v>
      </c>
    </row>
    <row r="19" spans="1:18" ht="26.25" thickBot="1">
      <c r="A19" s="1252"/>
      <c r="B19" s="1253" t="s">
        <v>826</v>
      </c>
      <c r="C19" s="1273">
        <v>13039875</v>
      </c>
      <c r="D19" s="1273">
        <v>4713007</v>
      </c>
      <c r="E19" s="1273"/>
      <c r="F19" s="1273">
        <v>17752882</v>
      </c>
      <c r="G19" s="1273">
        <v>13039875</v>
      </c>
      <c r="H19" s="1273">
        <v>4713007</v>
      </c>
      <c r="I19" s="1273"/>
      <c r="J19" s="1273">
        <v>17752882</v>
      </c>
      <c r="K19" s="1273">
        <v>13572398</v>
      </c>
      <c r="L19" s="1273">
        <v>4285893</v>
      </c>
      <c r="M19" s="1273"/>
      <c r="N19" s="1273">
        <f>SUM(K19:L19)</f>
        <v>17858291</v>
      </c>
      <c r="O19" s="1273">
        <v>11994247</v>
      </c>
      <c r="P19" s="1273">
        <v>2389506</v>
      </c>
      <c r="Q19" s="1273"/>
      <c r="R19" s="1273">
        <f>SUM(O19:P19)</f>
        <v>14383753</v>
      </c>
    </row>
    <row r="20" spans="1:18" ht="32.25" thickBot="1">
      <c r="A20" s="1256"/>
      <c r="B20" s="1257" t="s">
        <v>827</v>
      </c>
      <c r="C20" s="1274">
        <f aca="true" t="shared" si="1" ref="C20:N20">SUM(C18:C19)</f>
        <v>13364882</v>
      </c>
      <c r="D20" s="1274">
        <f t="shared" si="1"/>
        <v>4713007</v>
      </c>
      <c r="E20" s="1274">
        <f t="shared" si="1"/>
        <v>0</v>
      </c>
      <c r="F20" s="1274">
        <f t="shared" si="1"/>
        <v>18077889</v>
      </c>
      <c r="G20" s="1274">
        <f t="shared" si="1"/>
        <v>13364882</v>
      </c>
      <c r="H20" s="1274">
        <f t="shared" si="1"/>
        <v>4713007</v>
      </c>
      <c r="I20" s="1274">
        <f t="shared" si="1"/>
        <v>0</v>
      </c>
      <c r="J20" s="1274">
        <f t="shared" si="1"/>
        <v>18077889</v>
      </c>
      <c r="K20" s="1274">
        <f t="shared" si="1"/>
        <v>13897405</v>
      </c>
      <c r="L20" s="1274">
        <f t="shared" si="1"/>
        <v>4285893</v>
      </c>
      <c r="M20" s="1274">
        <f t="shared" si="1"/>
        <v>0</v>
      </c>
      <c r="N20" s="1274">
        <f t="shared" si="1"/>
        <v>18183298</v>
      </c>
      <c r="O20" s="1274">
        <f>SUM(O18:O19)</f>
        <v>12319254</v>
      </c>
      <c r="P20" s="1274">
        <f>SUM(P18:P19)</f>
        <v>2389506</v>
      </c>
      <c r="Q20" s="1274">
        <f>SUM(Q18:Q19)</f>
        <v>0</v>
      </c>
      <c r="R20" s="1274">
        <f>SUM(R18:R19)</f>
        <v>14708760</v>
      </c>
    </row>
    <row r="21" spans="1:18" ht="16.5" thickBot="1">
      <c r="A21" s="1996" t="s">
        <v>157</v>
      </c>
      <c r="B21" s="1997"/>
      <c r="C21" s="1275">
        <f aca="true" t="shared" si="2" ref="C21:N21">SUM(C16+C20)</f>
        <v>13364882</v>
      </c>
      <c r="D21" s="1275">
        <f t="shared" si="2"/>
        <v>5013000</v>
      </c>
      <c r="E21" s="1275">
        <f t="shared" si="2"/>
        <v>0</v>
      </c>
      <c r="F21" s="1276">
        <f t="shared" si="2"/>
        <v>18377882</v>
      </c>
      <c r="G21" s="1275">
        <f t="shared" si="2"/>
        <v>13364882</v>
      </c>
      <c r="H21" s="1275">
        <f t="shared" si="2"/>
        <v>5013000</v>
      </c>
      <c r="I21" s="1275">
        <f t="shared" si="2"/>
        <v>0</v>
      </c>
      <c r="J21" s="1276">
        <f t="shared" si="2"/>
        <v>18377882</v>
      </c>
      <c r="K21" s="1275">
        <f t="shared" si="2"/>
        <v>13897405</v>
      </c>
      <c r="L21" s="1275">
        <f t="shared" si="2"/>
        <v>4687993</v>
      </c>
      <c r="M21" s="1275">
        <f t="shared" si="2"/>
        <v>0</v>
      </c>
      <c r="N21" s="1276">
        <f t="shared" si="2"/>
        <v>18585398</v>
      </c>
      <c r="O21" s="1275">
        <f>SUM(O16+O20)</f>
        <v>12319254</v>
      </c>
      <c r="P21" s="1275">
        <f>SUM(P16+P20)</f>
        <v>2897554</v>
      </c>
      <c r="Q21" s="1275">
        <f>SUM(Q16+Q20)</f>
        <v>0</v>
      </c>
      <c r="R21" s="1276">
        <f>SUM(R16+R20)</f>
        <v>15216808</v>
      </c>
    </row>
    <row r="22" spans="1:18" ht="12.75">
      <c r="A22" s="1293" t="s">
        <v>167</v>
      </c>
      <c r="B22" s="1239" t="s">
        <v>829</v>
      </c>
      <c r="C22" s="1247">
        <v>6965027</v>
      </c>
      <c r="D22" s="1247">
        <v>1855000</v>
      </c>
      <c r="E22" s="1246"/>
      <c r="F22" s="1247">
        <f>SUM(C22:E22)</f>
        <v>8820027</v>
      </c>
      <c r="G22" s="1247">
        <v>6965027</v>
      </c>
      <c r="H22" s="1247">
        <v>1855000</v>
      </c>
      <c r="I22" s="1246"/>
      <c r="J22" s="1247">
        <f>SUM(G22:I22)</f>
        <v>8820027</v>
      </c>
      <c r="K22" s="1247">
        <v>7051428</v>
      </c>
      <c r="L22" s="1247">
        <v>1855000</v>
      </c>
      <c r="M22" s="1246"/>
      <c r="N22" s="1247">
        <f>SUM(K22:M22)</f>
        <v>8906428</v>
      </c>
      <c r="O22" s="1247">
        <v>7188879</v>
      </c>
      <c r="P22" s="1247">
        <v>500000</v>
      </c>
      <c r="Q22" s="1246"/>
      <c r="R22" s="1247">
        <f>SUM(O22:Q22)</f>
        <v>7688879</v>
      </c>
    </row>
    <row r="23" spans="1:18" ht="25.5">
      <c r="A23" s="1294" t="s">
        <v>169</v>
      </c>
      <c r="B23" s="1239" t="s">
        <v>830</v>
      </c>
      <c r="C23" s="1243">
        <v>1569855</v>
      </c>
      <c r="D23" s="1243">
        <v>758000</v>
      </c>
      <c r="E23" s="1242"/>
      <c r="F23" s="1247">
        <f>SUM(C23:E23)</f>
        <v>2327855</v>
      </c>
      <c r="G23" s="1243">
        <v>1569855</v>
      </c>
      <c r="H23" s="1243">
        <v>758000</v>
      </c>
      <c r="I23" s="1242"/>
      <c r="J23" s="1247">
        <f>SUM(G23:I23)</f>
        <v>2327855</v>
      </c>
      <c r="K23" s="1243">
        <v>1588863</v>
      </c>
      <c r="L23" s="1243">
        <v>758000</v>
      </c>
      <c r="M23" s="1242"/>
      <c r="N23" s="1247">
        <f>SUM(K23:M23)</f>
        <v>2346863</v>
      </c>
      <c r="O23" s="1243">
        <v>1539888</v>
      </c>
      <c r="P23" s="1243">
        <v>190000</v>
      </c>
      <c r="Q23" s="1242"/>
      <c r="R23" s="1247">
        <f>SUM(O23:Q23)</f>
        <v>1729888</v>
      </c>
    </row>
    <row r="24" spans="1:18" s="12" customFormat="1" ht="12.75">
      <c r="A24" s="1294" t="s">
        <v>176</v>
      </c>
      <c r="B24" s="1037" t="s">
        <v>831</v>
      </c>
      <c r="C24" s="1243">
        <v>4430000</v>
      </c>
      <c r="D24" s="1243">
        <v>2400000</v>
      </c>
      <c r="E24" s="1243"/>
      <c r="F24" s="1247">
        <f>SUM(C24:E24)</f>
        <v>6830000</v>
      </c>
      <c r="G24" s="1243">
        <v>4430000</v>
      </c>
      <c r="H24" s="1243">
        <v>2400000</v>
      </c>
      <c r="I24" s="1243"/>
      <c r="J24" s="1247">
        <f>SUM(G24:I24)</f>
        <v>6830000</v>
      </c>
      <c r="K24" s="1243">
        <v>4857114</v>
      </c>
      <c r="L24" s="1243">
        <v>2074993</v>
      </c>
      <c r="M24" s="1243"/>
      <c r="N24" s="1247">
        <f>SUM(K24:L24)</f>
        <v>6932107</v>
      </c>
      <c r="O24" s="1243">
        <v>4294264</v>
      </c>
      <c r="P24" s="1243">
        <v>800000</v>
      </c>
      <c r="Q24" s="1243"/>
      <c r="R24" s="1247">
        <f>SUM(O24:P24)</f>
        <v>5094264</v>
      </c>
    </row>
    <row r="25" spans="1:18" s="12" customFormat="1" ht="12.75">
      <c r="A25" s="1294" t="s">
        <v>186</v>
      </c>
      <c r="B25" s="1037" t="s">
        <v>832</v>
      </c>
      <c r="C25" s="1288">
        <v>400000</v>
      </c>
      <c r="D25" s="1288">
        <f>SUM(D26:D27)</f>
        <v>0</v>
      </c>
      <c r="E25" s="1288">
        <f>SUM(E26:E27)</f>
        <v>0</v>
      </c>
      <c r="F25" s="1247">
        <f>SUM(C25:E25)</f>
        <v>400000</v>
      </c>
      <c r="G25" s="1288">
        <v>400000</v>
      </c>
      <c r="H25" s="1288">
        <f>SUM(H26:H27)</f>
        <v>0</v>
      </c>
      <c r="I25" s="1288">
        <f>SUM(I26:I27)</f>
        <v>0</v>
      </c>
      <c r="J25" s="1247">
        <f>SUM(G25:I25)</f>
        <v>400000</v>
      </c>
      <c r="K25" s="1288">
        <v>400000</v>
      </c>
      <c r="L25" s="1288">
        <f>SUM(L26:L27)</f>
        <v>0</v>
      </c>
      <c r="M25" s="1288">
        <f>SUM(M26:M27)</f>
        <v>0</v>
      </c>
      <c r="N25" s="1247">
        <f>SUM(K25:M25)</f>
        <v>400000</v>
      </c>
      <c r="O25" s="1288"/>
      <c r="P25" s="1288">
        <f>SUM(P26:P27)</f>
        <v>703777</v>
      </c>
      <c r="Q25" s="1288">
        <f>SUM(Q26:Q27)</f>
        <v>0</v>
      </c>
      <c r="R25" s="1247">
        <f>SUM(O25:Q25)</f>
        <v>703777</v>
      </c>
    </row>
    <row r="26" spans="1:18" s="148" customFormat="1" ht="12.75">
      <c r="A26" s="1240"/>
      <c r="B26" s="1240" t="s">
        <v>132</v>
      </c>
      <c r="C26" s="1258"/>
      <c r="D26" s="1240"/>
      <c r="E26" s="1240"/>
      <c r="F26" s="1240"/>
      <c r="G26" s="1258"/>
      <c r="H26" s="1240"/>
      <c r="I26" s="1240"/>
      <c r="J26" s="1240"/>
      <c r="K26" s="1258"/>
      <c r="L26" s="1240"/>
      <c r="M26" s="1240"/>
      <c r="N26" s="1240"/>
      <c r="O26" s="1258"/>
      <c r="P26" s="1240">
        <v>703777</v>
      </c>
      <c r="Q26" s="1240"/>
      <c r="R26" s="1240"/>
    </row>
    <row r="27" spans="1:18" s="148" customFormat="1" ht="13.5" thickBot="1">
      <c r="A27" s="1259"/>
      <c r="B27" s="1259" t="s">
        <v>134</v>
      </c>
      <c r="C27" s="1254">
        <v>400000</v>
      </c>
      <c r="D27" s="1259"/>
      <c r="E27" s="1259"/>
      <c r="F27" s="1259">
        <v>400000</v>
      </c>
      <c r="G27" s="1254">
        <v>400000</v>
      </c>
      <c r="H27" s="1259"/>
      <c r="I27" s="1259"/>
      <c r="J27" s="1259">
        <v>400000</v>
      </c>
      <c r="K27" s="1254">
        <v>400000</v>
      </c>
      <c r="L27" s="1259"/>
      <c r="M27" s="1259"/>
      <c r="N27" s="1259">
        <v>400000</v>
      </c>
      <c r="O27" s="1254"/>
      <c r="P27" s="1259"/>
      <c r="Q27" s="1259"/>
      <c r="R27" s="1259"/>
    </row>
    <row r="28" spans="1:18" ht="16.5" thickBot="1">
      <c r="A28" s="1289"/>
      <c r="B28" s="1290" t="s">
        <v>833</v>
      </c>
      <c r="C28" s="1291">
        <f aca="true" t="shared" si="3" ref="C28:N28">SUM(C22:C25)</f>
        <v>13364882</v>
      </c>
      <c r="D28" s="1291">
        <f t="shared" si="3"/>
        <v>5013000</v>
      </c>
      <c r="E28" s="1291">
        <f t="shared" si="3"/>
        <v>0</v>
      </c>
      <c r="F28" s="1292">
        <f t="shared" si="3"/>
        <v>18377882</v>
      </c>
      <c r="G28" s="1291">
        <f t="shared" si="3"/>
        <v>13364882</v>
      </c>
      <c r="H28" s="1291">
        <f t="shared" si="3"/>
        <v>5013000</v>
      </c>
      <c r="I28" s="1291">
        <f t="shared" si="3"/>
        <v>0</v>
      </c>
      <c r="J28" s="1292">
        <f t="shared" si="3"/>
        <v>18377882</v>
      </c>
      <c r="K28" s="1291">
        <f t="shared" si="3"/>
        <v>13897405</v>
      </c>
      <c r="L28" s="1291">
        <f t="shared" si="3"/>
        <v>4687993</v>
      </c>
      <c r="M28" s="1291">
        <f t="shared" si="3"/>
        <v>0</v>
      </c>
      <c r="N28" s="1292">
        <f t="shared" si="3"/>
        <v>18585398</v>
      </c>
      <c r="O28" s="1291">
        <f>SUM(O22:O25)</f>
        <v>13023031</v>
      </c>
      <c r="P28" s="1291">
        <f>SUM(P22:P26)</f>
        <v>2897554</v>
      </c>
      <c r="Q28" s="1291">
        <f>SUM(Q22:Q25)</f>
        <v>0</v>
      </c>
      <c r="R28" s="1292">
        <f>SUM(R22:R25)</f>
        <v>15216808</v>
      </c>
    </row>
  </sheetData>
  <sheetProtection/>
  <mergeCells count="12">
    <mergeCell ref="A1:N1"/>
    <mergeCell ref="A21:B21"/>
    <mergeCell ref="A10:B11"/>
    <mergeCell ref="C10:F10"/>
    <mergeCell ref="A16:B16"/>
    <mergeCell ref="G10:J10"/>
    <mergeCell ref="K10:N10"/>
    <mergeCell ref="F3:M3"/>
    <mergeCell ref="O10:R10"/>
    <mergeCell ref="A6:R6"/>
    <mergeCell ref="A2:R2"/>
    <mergeCell ref="F9:R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0"/>
  <sheetViews>
    <sheetView showGridLines="0" view="pageBreakPreview" zoomScale="60" zoomScalePageLayoutView="0" workbookViewId="0" topLeftCell="A1">
      <selection activeCell="A1" sqref="A1:R1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5.28125" style="0" customWidth="1"/>
    <col min="4" max="4" width="16.7109375" style="0" customWidth="1"/>
    <col min="5" max="5" width="16.8515625" style="0" customWidth="1"/>
    <col min="6" max="6" width="17.28125" style="0" customWidth="1"/>
    <col min="7" max="7" width="16.140625" style="0" customWidth="1"/>
    <col min="8" max="8" width="16.7109375" style="0" customWidth="1"/>
    <col min="9" max="9" width="16.8515625" style="0" customWidth="1"/>
    <col min="10" max="10" width="17.28125" style="0" customWidth="1"/>
    <col min="11" max="11" width="15.00390625" style="0" customWidth="1"/>
    <col min="12" max="12" width="16.7109375" style="0" customWidth="1"/>
    <col min="13" max="13" width="16.8515625" style="0" customWidth="1"/>
    <col min="14" max="14" width="17.28125" style="0" customWidth="1"/>
    <col min="15" max="15" width="15.00390625" style="0" customWidth="1"/>
    <col min="16" max="16" width="16.7109375" style="0" customWidth="1"/>
    <col min="17" max="17" width="16.8515625" style="0" customWidth="1"/>
    <col min="18" max="18" width="17.28125" style="0" customWidth="1"/>
  </cols>
  <sheetData>
    <row r="1" spans="1:18" ht="15">
      <c r="A1" s="2008" t="s">
        <v>1162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</row>
    <row r="2" spans="1:18" ht="12.75">
      <c r="A2" s="1747" t="s">
        <v>1133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  <c r="O2" s="1747"/>
      <c r="P2" s="1747"/>
      <c r="Q2" s="1747"/>
      <c r="R2" s="1747"/>
    </row>
    <row r="3" spans="1:18" ht="12.75">
      <c r="A3" s="1236"/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</row>
    <row r="4" spans="1:18" ht="12.75">
      <c r="A4" s="1236"/>
      <c r="B4" s="1236"/>
      <c r="C4" s="1236"/>
      <c r="D4" s="1236"/>
      <c r="E4" s="1236"/>
      <c r="F4" s="1747" t="s">
        <v>1161</v>
      </c>
      <c r="G4" s="1747"/>
      <c r="H4" s="1747"/>
      <c r="I4" s="1747"/>
      <c r="J4" s="1747"/>
      <c r="K4" s="1747"/>
      <c r="L4" s="1747"/>
      <c r="M4" s="1747"/>
      <c r="N4" s="1236"/>
      <c r="O4" s="1236"/>
      <c r="P4" s="1236"/>
      <c r="Q4" s="1236"/>
      <c r="R4" s="1236"/>
    </row>
    <row r="5" spans="1:18" ht="12.75">
      <c r="A5" s="1236"/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</row>
    <row r="6" spans="1:18" ht="29.25" customHeight="1">
      <c r="A6" s="2009" t="s">
        <v>836</v>
      </c>
      <c r="B6" s="2009"/>
      <c r="C6" s="2009"/>
      <c r="D6" s="2009"/>
      <c r="E6" s="2009"/>
      <c r="F6" s="2009"/>
      <c r="G6" s="2009"/>
      <c r="H6" s="2009"/>
      <c r="I6" s="2009"/>
      <c r="J6" s="2009"/>
      <c r="K6" s="2009"/>
      <c r="L6" s="2009"/>
      <c r="M6" s="2009"/>
      <c r="N6" s="2009"/>
      <c r="O6" s="2009"/>
      <c r="P6" s="2009"/>
      <c r="Q6" s="2009"/>
      <c r="R6" s="2009"/>
    </row>
    <row r="9" spans="6:18" ht="13.5" thickBot="1">
      <c r="F9" s="2005" t="s">
        <v>219</v>
      </c>
      <c r="G9" s="2005"/>
      <c r="H9" s="2005"/>
      <c r="I9" s="2005"/>
      <c r="J9" s="2005"/>
      <c r="K9" s="2005"/>
      <c r="L9" s="2005"/>
      <c r="M9" s="2005"/>
      <c r="N9" s="2005"/>
      <c r="O9" s="2005"/>
      <c r="P9" s="2005"/>
      <c r="Q9" s="2005"/>
      <c r="R9" s="2005"/>
    </row>
    <row r="10" spans="1:18" ht="12.75">
      <c r="A10" s="1998" t="s">
        <v>812</v>
      </c>
      <c r="B10" s="1999"/>
      <c r="C10" s="2002" t="s">
        <v>802</v>
      </c>
      <c r="D10" s="2002"/>
      <c r="E10" s="2002"/>
      <c r="F10" s="2003"/>
      <c r="G10" s="2002" t="s">
        <v>888</v>
      </c>
      <c r="H10" s="2002"/>
      <c r="I10" s="2002"/>
      <c r="J10" s="2003"/>
      <c r="K10" s="2002" t="s">
        <v>889</v>
      </c>
      <c r="L10" s="2002"/>
      <c r="M10" s="2002"/>
      <c r="N10" s="2003"/>
      <c r="O10" s="2002" t="s">
        <v>948</v>
      </c>
      <c r="P10" s="2002"/>
      <c r="Q10" s="2002"/>
      <c r="R10" s="2003"/>
    </row>
    <row r="11" spans="1:18" s="5" customFormat="1" ht="26.25" customHeight="1" thickBot="1">
      <c r="A11" s="2000"/>
      <c r="B11" s="2001"/>
      <c r="C11" s="1286" t="s">
        <v>813</v>
      </c>
      <c r="D11" s="1286" t="s">
        <v>814</v>
      </c>
      <c r="E11" s="1286" t="s">
        <v>815</v>
      </c>
      <c r="F11" s="1287" t="s">
        <v>25</v>
      </c>
      <c r="G11" s="1286" t="s">
        <v>813</v>
      </c>
      <c r="H11" s="1286" t="s">
        <v>814</v>
      </c>
      <c r="I11" s="1286" t="s">
        <v>815</v>
      </c>
      <c r="J11" s="1287" t="s">
        <v>25</v>
      </c>
      <c r="K11" s="1286" t="s">
        <v>813</v>
      </c>
      <c r="L11" s="1286" t="s">
        <v>814</v>
      </c>
      <c r="M11" s="1286" t="s">
        <v>815</v>
      </c>
      <c r="N11" s="1287" t="s">
        <v>25</v>
      </c>
      <c r="O11" s="1286" t="s">
        <v>813</v>
      </c>
      <c r="P11" s="1286" t="s">
        <v>814</v>
      </c>
      <c r="Q11" s="1286" t="s">
        <v>815</v>
      </c>
      <c r="R11" s="1287" t="s">
        <v>25</v>
      </c>
    </row>
    <row r="12" spans="1:18" s="12" customFormat="1" ht="13.5" thickBot="1">
      <c r="A12" s="1277" t="s">
        <v>167</v>
      </c>
      <c r="B12" s="1251" t="s">
        <v>817</v>
      </c>
      <c r="C12" s="1262">
        <f>SUM(C13:C15)</f>
        <v>0</v>
      </c>
      <c r="D12" s="1262">
        <f>SUM(D13:D16)</f>
        <v>480369</v>
      </c>
      <c r="E12" s="1262">
        <f>SUM(E13:E16)</f>
        <v>0</v>
      </c>
      <c r="F12" s="1262">
        <f>SUM(F13:F16)</f>
        <v>480369</v>
      </c>
      <c r="G12" s="1262">
        <f>SUM(G13:G15)</f>
        <v>0</v>
      </c>
      <c r="H12" s="1262">
        <f>SUM(H13:H16)</f>
        <v>480369</v>
      </c>
      <c r="I12" s="1262">
        <f>SUM(I13:I16)</f>
        <v>0</v>
      </c>
      <c r="J12" s="1262">
        <f>SUM(J13:J16)</f>
        <v>480369</v>
      </c>
      <c r="K12" s="1262">
        <f>SUM(K13:K15)</f>
        <v>0</v>
      </c>
      <c r="L12" s="1262">
        <f>SUM(L13:L16)</f>
        <v>480369</v>
      </c>
      <c r="M12" s="1262">
        <f>SUM(M13:M16)</f>
        <v>0</v>
      </c>
      <c r="N12" s="1262">
        <f>SUM(N13:N16)</f>
        <v>480369</v>
      </c>
      <c r="O12" s="1262">
        <f>SUM(O13:O15)</f>
        <v>0</v>
      </c>
      <c r="P12" s="1262">
        <f>SUM(P13:P17)</f>
        <v>1057837</v>
      </c>
      <c r="Q12" s="1262">
        <f>SUM(Q13:Q16)</f>
        <v>0</v>
      </c>
      <c r="R12" s="1262">
        <f>SUM(R13:R17)</f>
        <v>1057837</v>
      </c>
    </row>
    <row r="13" spans="1:18" s="148" customFormat="1" ht="12.75">
      <c r="A13" s="1279"/>
      <c r="B13" s="1238" t="s">
        <v>834</v>
      </c>
      <c r="C13" s="1265"/>
      <c r="D13" s="1266">
        <v>50000</v>
      </c>
      <c r="E13" s="1266"/>
      <c r="F13" s="1266">
        <f>SUM(C13:E13)</f>
        <v>50000</v>
      </c>
      <c r="G13" s="1265"/>
      <c r="H13" s="1266">
        <v>50000</v>
      </c>
      <c r="I13" s="1266"/>
      <c r="J13" s="1266">
        <f>SUM(G13:I13)</f>
        <v>50000</v>
      </c>
      <c r="K13" s="1265"/>
      <c r="L13" s="1266">
        <v>50000</v>
      </c>
      <c r="M13" s="1266"/>
      <c r="N13" s="1266">
        <f>SUM(K13:M13)</f>
        <v>50000</v>
      </c>
      <c r="O13" s="1265"/>
      <c r="P13" s="1266">
        <v>16000</v>
      </c>
      <c r="Q13" s="1266"/>
      <c r="R13" s="1266">
        <f>SUM(O13:Q13)</f>
        <v>16000</v>
      </c>
    </row>
    <row r="14" spans="1:18" s="148" customFormat="1" ht="25.5">
      <c r="A14" s="1280"/>
      <c r="B14" s="1238" t="s">
        <v>837</v>
      </c>
      <c r="C14" s="1267"/>
      <c r="D14" s="1260">
        <v>330000</v>
      </c>
      <c r="E14" s="1260"/>
      <c r="F14" s="1260">
        <f>SUM(C14:E14)</f>
        <v>330000</v>
      </c>
      <c r="G14" s="1267"/>
      <c r="H14" s="1260">
        <v>330000</v>
      </c>
      <c r="I14" s="1260"/>
      <c r="J14" s="1260">
        <f>SUM(G14:I14)</f>
        <v>330000</v>
      </c>
      <c r="K14" s="1267"/>
      <c r="L14" s="1260">
        <v>330000</v>
      </c>
      <c r="M14" s="1260"/>
      <c r="N14" s="1260">
        <f>SUM(K14:M14)</f>
        <v>330000</v>
      </c>
      <c r="O14" s="1267"/>
      <c r="P14" s="1260">
        <v>353990</v>
      </c>
      <c r="Q14" s="1260"/>
      <c r="R14" s="1260">
        <f>SUM(O14:Q14)</f>
        <v>353990</v>
      </c>
    </row>
    <row r="15" spans="1:18" s="148" customFormat="1" ht="25.5">
      <c r="A15" s="1280"/>
      <c r="B15" s="1238" t="s">
        <v>820</v>
      </c>
      <c r="C15" s="1267"/>
      <c r="D15" s="1260">
        <v>100363</v>
      </c>
      <c r="E15" s="1260"/>
      <c r="F15" s="1260">
        <f>SUM(C15:E15)</f>
        <v>100363</v>
      </c>
      <c r="G15" s="1267"/>
      <c r="H15" s="1260">
        <v>100363</v>
      </c>
      <c r="I15" s="1260"/>
      <c r="J15" s="1260">
        <f>SUM(G15:I15)</f>
        <v>100363</v>
      </c>
      <c r="K15" s="1267"/>
      <c r="L15" s="1260">
        <v>100363</v>
      </c>
      <c r="M15" s="1260"/>
      <c r="N15" s="1260">
        <f>SUM(K15:M15)</f>
        <v>100363</v>
      </c>
      <c r="O15" s="1267"/>
      <c r="P15" s="1260">
        <v>93841</v>
      </c>
      <c r="Q15" s="1260"/>
      <c r="R15" s="1260">
        <f>SUM(O15:Q15)</f>
        <v>93841</v>
      </c>
    </row>
    <row r="16" spans="1:18" s="148" customFormat="1" ht="25.5">
      <c r="A16" s="1280"/>
      <c r="B16" s="1238" t="s">
        <v>821</v>
      </c>
      <c r="C16" s="1267"/>
      <c r="D16" s="1260">
        <v>6</v>
      </c>
      <c r="E16" s="1260"/>
      <c r="F16" s="1260">
        <v>6</v>
      </c>
      <c r="G16" s="1267"/>
      <c r="H16" s="1260">
        <v>6</v>
      </c>
      <c r="I16" s="1260"/>
      <c r="J16" s="1260">
        <v>6</v>
      </c>
      <c r="K16" s="1267"/>
      <c r="L16" s="1260">
        <v>6</v>
      </c>
      <c r="M16" s="1260"/>
      <c r="N16" s="1260">
        <v>6</v>
      </c>
      <c r="O16" s="1267"/>
      <c r="P16" s="1260">
        <v>6</v>
      </c>
      <c r="Q16" s="1260"/>
      <c r="R16" s="1260">
        <v>6</v>
      </c>
    </row>
    <row r="17" spans="1:18" s="1" customFormat="1" ht="13.5" thickBot="1">
      <c r="A17" s="1572"/>
      <c r="B17" s="1306" t="s">
        <v>185</v>
      </c>
      <c r="C17" s="1573"/>
      <c r="D17" s="1574"/>
      <c r="E17" s="1574"/>
      <c r="F17" s="1574"/>
      <c r="G17" s="1573"/>
      <c r="H17" s="1574"/>
      <c r="I17" s="1574"/>
      <c r="J17" s="1574"/>
      <c r="K17" s="1573"/>
      <c r="L17" s="1574"/>
      <c r="M17" s="1574"/>
      <c r="N17" s="1574"/>
      <c r="O17" s="1573"/>
      <c r="P17" s="1574">
        <v>594000</v>
      </c>
      <c r="Q17" s="1574"/>
      <c r="R17" s="1574">
        <v>594000</v>
      </c>
    </row>
    <row r="18" spans="1:18" s="879" customFormat="1" ht="16.5" thickBot="1">
      <c r="A18" s="2006" t="s">
        <v>532</v>
      </c>
      <c r="B18" s="2007"/>
      <c r="C18" s="1269">
        <f aca="true" t="shared" si="0" ref="C18:N18">SUM(C12)</f>
        <v>0</v>
      </c>
      <c r="D18" s="1269">
        <f t="shared" si="0"/>
        <v>480369</v>
      </c>
      <c r="E18" s="1269">
        <f t="shared" si="0"/>
        <v>0</v>
      </c>
      <c r="F18" s="1269">
        <f t="shared" si="0"/>
        <v>480369</v>
      </c>
      <c r="G18" s="1269">
        <f t="shared" si="0"/>
        <v>0</v>
      </c>
      <c r="H18" s="1269">
        <f t="shared" si="0"/>
        <v>480369</v>
      </c>
      <c r="I18" s="1269">
        <f t="shared" si="0"/>
        <v>0</v>
      </c>
      <c r="J18" s="1269">
        <f t="shared" si="0"/>
        <v>480369</v>
      </c>
      <c r="K18" s="1269">
        <f t="shared" si="0"/>
        <v>0</v>
      </c>
      <c r="L18" s="1269">
        <f t="shared" si="0"/>
        <v>480369</v>
      </c>
      <c r="M18" s="1269">
        <f t="shared" si="0"/>
        <v>0</v>
      </c>
      <c r="N18" s="1269">
        <f t="shared" si="0"/>
        <v>480369</v>
      </c>
      <c r="O18" s="1269">
        <f>SUM(O12)</f>
        <v>0</v>
      </c>
      <c r="P18" s="1269">
        <f>SUM(P12)</f>
        <v>1057837</v>
      </c>
      <c r="Q18" s="1269">
        <f>SUM(Q12)</f>
        <v>0</v>
      </c>
      <c r="R18" s="1270">
        <f>SUM(R12)</f>
        <v>1057837</v>
      </c>
    </row>
    <row r="19" spans="1:18" ht="25.5">
      <c r="A19" s="1250"/>
      <c r="B19" s="1238" t="s">
        <v>824</v>
      </c>
      <c r="C19" s="1271"/>
      <c r="D19" s="1271"/>
      <c r="E19" s="1271">
        <v>1959631</v>
      </c>
      <c r="F19" s="1271">
        <v>1959631</v>
      </c>
      <c r="G19" s="1271"/>
      <c r="H19" s="1271"/>
      <c r="I19" s="1271">
        <v>1959631</v>
      </c>
      <c r="J19" s="1271">
        <v>1959631</v>
      </c>
      <c r="K19" s="1271"/>
      <c r="L19" s="1271"/>
      <c r="M19" s="1271">
        <v>1959631</v>
      </c>
      <c r="N19" s="1271">
        <v>1959631</v>
      </c>
      <c r="O19" s="1271"/>
      <c r="P19" s="1271"/>
      <c r="Q19" s="1271">
        <v>1959631</v>
      </c>
      <c r="R19" s="1271">
        <v>1959631</v>
      </c>
    </row>
    <row r="20" spans="1:18" ht="12.75">
      <c r="A20" s="644"/>
      <c r="B20" s="1239" t="s">
        <v>825</v>
      </c>
      <c r="C20" s="1272"/>
      <c r="D20" s="1272"/>
      <c r="E20" s="1272">
        <v>1959631</v>
      </c>
      <c r="F20" s="1272">
        <v>1959631</v>
      </c>
      <c r="G20" s="1272"/>
      <c r="H20" s="1272"/>
      <c r="I20" s="1272">
        <v>1959631</v>
      </c>
      <c r="J20" s="1272">
        <v>1959631</v>
      </c>
      <c r="K20" s="1272"/>
      <c r="L20" s="1272"/>
      <c r="M20" s="1272">
        <v>1959631</v>
      </c>
      <c r="N20" s="1272">
        <v>1959631</v>
      </c>
      <c r="O20" s="1272"/>
      <c r="P20" s="1272"/>
      <c r="Q20" s="1272">
        <v>1959631</v>
      </c>
      <c r="R20" s="1272">
        <v>1959631</v>
      </c>
    </row>
    <row r="21" spans="1:18" ht="26.25" thickBot="1">
      <c r="A21" s="1252"/>
      <c r="B21" s="1253" t="s">
        <v>826</v>
      </c>
      <c r="C21" s="1273">
        <v>0</v>
      </c>
      <c r="D21" s="1273">
        <v>794631</v>
      </c>
      <c r="E21" s="1273">
        <v>83484879</v>
      </c>
      <c r="F21" s="1273">
        <v>84279510</v>
      </c>
      <c r="G21" s="1273">
        <v>0</v>
      </c>
      <c r="H21" s="1273">
        <v>794631</v>
      </c>
      <c r="I21" s="1273">
        <v>83484879</v>
      </c>
      <c r="J21" s="1273">
        <v>84279510</v>
      </c>
      <c r="K21" s="1273">
        <v>0</v>
      </c>
      <c r="L21" s="1273">
        <v>794631</v>
      </c>
      <c r="M21" s="1273">
        <v>83484879</v>
      </c>
      <c r="N21" s="1273">
        <v>84279510</v>
      </c>
      <c r="O21" s="1273">
        <v>0</v>
      </c>
      <c r="P21" s="1273"/>
      <c r="Q21" s="1273">
        <v>77422982</v>
      </c>
      <c r="R21" s="1273">
        <v>77422982</v>
      </c>
    </row>
    <row r="22" spans="1:18" ht="16.5" thickBot="1">
      <c r="A22" s="1256"/>
      <c r="B22" s="1257" t="s">
        <v>827</v>
      </c>
      <c r="C22" s="1274">
        <f aca="true" t="shared" si="1" ref="C22:N22">SUM(C20:C21)</f>
        <v>0</v>
      </c>
      <c r="D22" s="1274">
        <f t="shared" si="1"/>
        <v>794631</v>
      </c>
      <c r="E22" s="1274">
        <f t="shared" si="1"/>
        <v>85444510</v>
      </c>
      <c r="F22" s="1274">
        <f t="shared" si="1"/>
        <v>86239141</v>
      </c>
      <c r="G22" s="1274">
        <f t="shared" si="1"/>
        <v>0</v>
      </c>
      <c r="H22" s="1274">
        <f t="shared" si="1"/>
        <v>794631</v>
      </c>
      <c r="I22" s="1274">
        <f t="shared" si="1"/>
        <v>85444510</v>
      </c>
      <c r="J22" s="1274">
        <f t="shared" si="1"/>
        <v>86239141</v>
      </c>
      <c r="K22" s="1274">
        <f t="shared" si="1"/>
        <v>0</v>
      </c>
      <c r="L22" s="1274">
        <f t="shared" si="1"/>
        <v>794631</v>
      </c>
      <c r="M22" s="1274">
        <f t="shared" si="1"/>
        <v>85444510</v>
      </c>
      <c r="N22" s="1274">
        <f t="shared" si="1"/>
        <v>86239141</v>
      </c>
      <c r="O22" s="1274">
        <f>SUM(O20:O21)</f>
        <v>0</v>
      </c>
      <c r="P22" s="1274">
        <f>SUM(P20:P21)</f>
        <v>0</v>
      </c>
      <c r="Q22" s="1274">
        <f>SUM(Q20:Q21)</f>
        <v>79382613</v>
      </c>
      <c r="R22" s="1274">
        <f>SUM(R20:R21)</f>
        <v>79382613</v>
      </c>
    </row>
    <row r="23" spans="1:18" ht="16.5" thickBot="1">
      <c r="A23" s="1996" t="s">
        <v>157</v>
      </c>
      <c r="B23" s="1997"/>
      <c r="C23" s="1275">
        <f aca="true" t="shared" si="2" ref="C23:N23">SUM(C18+C22)</f>
        <v>0</v>
      </c>
      <c r="D23" s="1275">
        <f t="shared" si="2"/>
        <v>1275000</v>
      </c>
      <c r="E23" s="1275">
        <f t="shared" si="2"/>
        <v>85444510</v>
      </c>
      <c r="F23" s="1276">
        <f t="shared" si="2"/>
        <v>86719510</v>
      </c>
      <c r="G23" s="1275">
        <f t="shared" si="2"/>
        <v>0</v>
      </c>
      <c r="H23" s="1275">
        <f t="shared" si="2"/>
        <v>1275000</v>
      </c>
      <c r="I23" s="1275">
        <f t="shared" si="2"/>
        <v>85444510</v>
      </c>
      <c r="J23" s="1276">
        <f t="shared" si="2"/>
        <v>86719510</v>
      </c>
      <c r="K23" s="1275">
        <f t="shared" si="2"/>
        <v>0</v>
      </c>
      <c r="L23" s="1275">
        <f t="shared" si="2"/>
        <v>1275000</v>
      </c>
      <c r="M23" s="1275">
        <f t="shared" si="2"/>
        <v>85444510</v>
      </c>
      <c r="N23" s="1276">
        <f t="shared" si="2"/>
        <v>86719510</v>
      </c>
      <c r="O23" s="1275">
        <f>SUM(O18+O22)</f>
        <v>0</v>
      </c>
      <c r="P23" s="1275">
        <f>SUM(P18+P22)</f>
        <v>1057837</v>
      </c>
      <c r="Q23" s="1275">
        <f>SUM(Q18+Q22)</f>
        <v>79382613</v>
      </c>
      <c r="R23" s="1276">
        <f>SUM(R18+R22)</f>
        <v>80440450</v>
      </c>
    </row>
    <row r="24" spans="1:18" ht="12.75">
      <c r="A24" s="1293" t="s">
        <v>167</v>
      </c>
      <c r="B24" s="1239" t="s">
        <v>829</v>
      </c>
      <c r="C24" s="1247"/>
      <c r="D24" s="1247"/>
      <c r="E24" s="1246">
        <v>60152000</v>
      </c>
      <c r="F24" s="1247">
        <f>SUM(C24:E24)</f>
        <v>60152000</v>
      </c>
      <c r="G24" s="1247"/>
      <c r="H24" s="1247"/>
      <c r="I24" s="1246">
        <v>60152000</v>
      </c>
      <c r="J24" s="1247">
        <f>SUM(G24:I24)</f>
        <v>60152000</v>
      </c>
      <c r="K24" s="1247"/>
      <c r="L24" s="1247"/>
      <c r="M24" s="1246">
        <v>60152000</v>
      </c>
      <c r="N24" s="1247">
        <f>SUM(K24:M24)</f>
        <v>60152000</v>
      </c>
      <c r="O24" s="1247"/>
      <c r="P24" s="1247"/>
      <c r="Q24" s="1246">
        <v>56426973</v>
      </c>
      <c r="R24" s="1247">
        <f>SUM(O24:Q24)</f>
        <v>56426973</v>
      </c>
    </row>
    <row r="25" spans="1:18" ht="25.5">
      <c r="A25" s="1294" t="s">
        <v>169</v>
      </c>
      <c r="B25" s="1239" t="s">
        <v>830</v>
      </c>
      <c r="C25" s="1243"/>
      <c r="D25" s="1243"/>
      <c r="E25" s="1242">
        <v>13367510</v>
      </c>
      <c r="F25" s="1247">
        <f>SUM(C25:E25)</f>
        <v>13367510</v>
      </c>
      <c r="G25" s="1243"/>
      <c r="H25" s="1243"/>
      <c r="I25" s="1242">
        <v>13367510</v>
      </c>
      <c r="J25" s="1247">
        <f>SUM(G25:I25)</f>
        <v>13367510</v>
      </c>
      <c r="K25" s="1243"/>
      <c r="L25" s="1243"/>
      <c r="M25" s="1242">
        <v>13367510</v>
      </c>
      <c r="N25" s="1247">
        <f>SUM(K25:M25)</f>
        <v>13367510</v>
      </c>
      <c r="O25" s="1243"/>
      <c r="P25" s="1243"/>
      <c r="Q25" s="1242">
        <v>12600977</v>
      </c>
      <c r="R25" s="1247">
        <f>SUM(O25:Q25)</f>
        <v>12600977</v>
      </c>
    </row>
    <row r="26" spans="1:18" s="12" customFormat="1" ht="12.75">
      <c r="A26" s="1294" t="s">
        <v>176</v>
      </c>
      <c r="B26" s="1037" t="s">
        <v>831</v>
      </c>
      <c r="C26" s="1243"/>
      <c r="D26" s="1243"/>
      <c r="E26" s="1243">
        <v>11925000</v>
      </c>
      <c r="F26" s="1247">
        <f>SUM(C26:E26)</f>
        <v>11925000</v>
      </c>
      <c r="G26" s="1243"/>
      <c r="H26" s="1243"/>
      <c r="I26" s="1243">
        <v>11925000</v>
      </c>
      <c r="J26" s="1247">
        <f>SUM(G26:I26)</f>
        <v>11925000</v>
      </c>
      <c r="K26" s="1243"/>
      <c r="L26" s="1243"/>
      <c r="M26" s="1243">
        <v>11925000</v>
      </c>
      <c r="N26" s="1247">
        <f>SUM(K26:M26)</f>
        <v>11925000</v>
      </c>
      <c r="O26" s="1243"/>
      <c r="P26" s="1243">
        <v>1057837</v>
      </c>
      <c r="Q26" s="1243">
        <f>SUM(10127032-1057837)</f>
        <v>9069195</v>
      </c>
      <c r="R26" s="1247">
        <f>SUM(O26:Q26)</f>
        <v>10127032</v>
      </c>
    </row>
    <row r="27" spans="1:18" s="12" customFormat="1" ht="12.75">
      <c r="A27" s="1294" t="s">
        <v>186</v>
      </c>
      <c r="B27" s="1037" t="s">
        <v>832</v>
      </c>
      <c r="C27" s="1288"/>
      <c r="D27" s="1288"/>
      <c r="E27" s="1288">
        <v>1275000</v>
      </c>
      <c r="F27" s="1247">
        <f>SUM(C27:E27)</f>
        <v>1275000</v>
      </c>
      <c r="G27" s="1288"/>
      <c r="H27" s="1288"/>
      <c r="I27" s="1288">
        <v>1275000</v>
      </c>
      <c r="J27" s="1247">
        <f>SUM(G27:I27)</f>
        <v>1275000</v>
      </c>
      <c r="K27" s="1288"/>
      <c r="L27" s="1288"/>
      <c r="M27" s="1288">
        <v>1275000</v>
      </c>
      <c r="N27" s="1247">
        <f>SUM(K27:M27)</f>
        <v>1275000</v>
      </c>
      <c r="O27" s="1288"/>
      <c r="P27" s="1288"/>
      <c r="Q27" s="1288">
        <v>1275000</v>
      </c>
      <c r="R27" s="1247">
        <v>1285467</v>
      </c>
    </row>
    <row r="28" spans="1:18" s="148" customFormat="1" ht="12.75">
      <c r="A28" s="1240"/>
      <c r="B28" s="1240" t="s">
        <v>132</v>
      </c>
      <c r="C28" s="1258"/>
      <c r="D28" s="1295"/>
      <c r="E28" s="1295">
        <v>1275000</v>
      </c>
      <c r="F28" s="1295">
        <v>1275000</v>
      </c>
      <c r="G28" s="1258"/>
      <c r="H28" s="1295"/>
      <c r="I28" s="1295">
        <v>1275000</v>
      </c>
      <c r="J28" s="1295">
        <v>1275000</v>
      </c>
      <c r="K28" s="1258"/>
      <c r="L28" s="1295"/>
      <c r="M28" s="1295">
        <v>1275000</v>
      </c>
      <c r="N28" s="1295">
        <v>1275000</v>
      </c>
      <c r="O28" s="1258"/>
      <c r="P28" s="1295"/>
      <c r="Q28" s="1295">
        <v>1285467</v>
      </c>
      <c r="R28" s="1295">
        <v>1285467</v>
      </c>
    </row>
    <row r="29" spans="1:18" s="148" customFormat="1" ht="13.5" thickBot="1">
      <c r="A29" s="1259"/>
      <c r="B29" s="1259" t="s">
        <v>134</v>
      </c>
      <c r="C29" s="1259"/>
      <c r="D29" s="1296"/>
      <c r="E29" s="1296"/>
      <c r="F29" s="1296"/>
      <c r="G29" s="1259"/>
      <c r="H29" s="1296"/>
      <c r="I29" s="1296"/>
      <c r="J29" s="1296"/>
      <c r="K29" s="1259"/>
      <c r="L29" s="1296"/>
      <c r="M29" s="1296"/>
      <c r="N29" s="1296"/>
      <c r="O29" s="1259"/>
      <c r="P29" s="1296"/>
      <c r="Q29" s="1296"/>
      <c r="R29" s="1296"/>
    </row>
    <row r="30" spans="1:18" ht="16.5" thickBot="1">
      <c r="A30" s="1289"/>
      <c r="B30" s="1290" t="s">
        <v>833</v>
      </c>
      <c r="C30" s="1291">
        <f aca="true" t="shared" si="3" ref="C30:N30">SUM(C24:C27)</f>
        <v>0</v>
      </c>
      <c r="D30" s="1291">
        <f t="shared" si="3"/>
        <v>0</v>
      </c>
      <c r="E30" s="1291">
        <f t="shared" si="3"/>
        <v>86719510</v>
      </c>
      <c r="F30" s="1292">
        <f t="shared" si="3"/>
        <v>86719510</v>
      </c>
      <c r="G30" s="1291">
        <f t="shared" si="3"/>
        <v>0</v>
      </c>
      <c r="H30" s="1291">
        <f t="shared" si="3"/>
        <v>0</v>
      </c>
      <c r="I30" s="1291">
        <f t="shared" si="3"/>
        <v>86719510</v>
      </c>
      <c r="J30" s="1292">
        <f t="shared" si="3"/>
        <v>86719510</v>
      </c>
      <c r="K30" s="1291">
        <f t="shared" si="3"/>
        <v>0</v>
      </c>
      <c r="L30" s="1291">
        <f t="shared" si="3"/>
        <v>0</v>
      </c>
      <c r="M30" s="1291">
        <f t="shared" si="3"/>
        <v>86719510</v>
      </c>
      <c r="N30" s="1292">
        <f t="shared" si="3"/>
        <v>86719510</v>
      </c>
      <c r="O30" s="1291">
        <f>SUM(O24:O27)</f>
        <v>0</v>
      </c>
      <c r="P30" s="1291">
        <f>SUM(P24:P27)</f>
        <v>1057837</v>
      </c>
      <c r="Q30" s="1291">
        <f>SUM(Q24:Q27)</f>
        <v>79372145</v>
      </c>
      <c r="R30" s="1292">
        <f>SUM(R24:R27)</f>
        <v>80440449</v>
      </c>
    </row>
  </sheetData>
  <sheetProtection/>
  <mergeCells count="12">
    <mergeCell ref="A23:B23"/>
    <mergeCell ref="A10:B11"/>
    <mergeCell ref="C10:F10"/>
    <mergeCell ref="A18:B18"/>
    <mergeCell ref="G10:J10"/>
    <mergeCell ref="K10:N10"/>
    <mergeCell ref="F4:M4"/>
    <mergeCell ref="O10:R10"/>
    <mergeCell ref="A6:R6"/>
    <mergeCell ref="A2:R2"/>
    <mergeCell ref="A1:R1"/>
    <mergeCell ref="F9:R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R31"/>
  <sheetViews>
    <sheetView showGridLines="0" view="pageBreakPreview" zoomScale="60" zoomScalePageLayoutView="0" workbookViewId="0" topLeftCell="A1">
      <selection activeCell="C60" sqref="C60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6.57421875" style="0" customWidth="1"/>
    <col min="4" max="4" width="16.7109375" style="0" customWidth="1"/>
    <col min="5" max="5" width="14.140625" style="0" customWidth="1"/>
    <col min="6" max="6" width="17.28125" style="0" customWidth="1"/>
    <col min="7" max="7" width="18.7109375" style="0" customWidth="1"/>
    <col min="8" max="8" width="16.7109375" style="0" customWidth="1"/>
    <col min="9" max="9" width="12.421875" style="0" customWidth="1"/>
    <col min="10" max="10" width="17.28125" style="0" customWidth="1"/>
    <col min="11" max="11" width="18.7109375" style="0" customWidth="1"/>
    <col min="12" max="12" width="16.7109375" style="0" customWidth="1"/>
    <col min="13" max="13" width="12.140625" style="0" customWidth="1"/>
    <col min="14" max="14" width="23.7109375" style="0" customWidth="1"/>
    <col min="15" max="15" width="18.7109375" style="0" customWidth="1"/>
    <col min="16" max="16" width="16.7109375" style="0" customWidth="1"/>
    <col min="17" max="17" width="12.140625" style="0" customWidth="1"/>
    <col min="18" max="18" width="23.7109375" style="0" customWidth="1"/>
  </cols>
  <sheetData>
    <row r="1" spans="1:14" ht="15">
      <c r="A1" s="2008" t="s">
        <v>1164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</row>
    <row r="2" spans="1:18" ht="12.75">
      <c r="A2" s="1747" t="s">
        <v>1133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  <c r="O2" s="1747"/>
      <c r="P2" s="1747"/>
      <c r="Q2" s="1747"/>
      <c r="R2" s="1747"/>
    </row>
    <row r="3" spans="1:18" ht="12.75">
      <c r="A3" s="1236"/>
      <c r="B3" s="1236"/>
      <c r="C3" s="1236"/>
      <c r="D3" s="1236"/>
      <c r="E3" s="1236"/>
      <c r="F3" s="1747" t="s">
        <v>1163</v>
      </c>
      <c r="G3" s="1747"/>
      <c r="H3" s="1747"/>
      <c r="I3" s="1747"/>
      <c r="J3" s="1747"/>
      <c r="K3" s="1747"/>
      <c r="L3" s="1747"/>
      <c r="M3" s="1747"/>
      <c r="N3" s="1747"/>
      <c r="O3" s="1236"/>
      <c r="P3" s="1236"/>
      <c r="Q3" s="1236"/>
      <c r="R3" s="1236"/>
    </row>
    <row r="4" spans="1:18" ht="12.75">
      <c r="A4" s="1236"/>
      <c r="B4" s="1236"/>
      <c r="C4" s="1236"/>
      <c r="D4" s="1236"/>
      <c r="E4" s="1236"/>
      <c r="F4" s="1236"/>
      <c r="G4" s="1236"/>
      <c r="H4" s="1236"/>
      <c r="I4" s="1236"/>
      <c r="J4" s="1236"/>
      <c r="K4" s="1236"/>
      <c r="L4" s="1236"/>
      <c r="M4" s="1236"/>
      <c r="N4" s="1236"/>
      <c r="O4" s="1236"/>
      <c r="P4" s="1236"/>
      <c r="Q4" s="1236"/>
      <c r="R4" s="1236"/>
    </row>
    <row r="5" spans="1:18" ht="12.75">
      <c r="A5" s="1236"/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</row>
    <row r="6" spans="1:18" ht="29.25" customHeight="1">
      <c r="A6" s="2004" t="s">
        <v>838</v>
      </c>
      <c r="B6" s="2004"/>
      <c r="C6" s="2004"/>
      <c r="D6" s="2004"/>
      <c r="E6" s="2004"/>
      <c r="F6" s="2004"/>
      <c r="G6" s="2004"/>
      <c r="H6" s="2004"/>
      <c r="I6" s="2004"/>
      <c r="J6" s="2004"/>
      <c r="K6" s="2004"/>
      <c r="L6" s="2004"/>
      <c r="M6" s="2004"/>
      <c r="N6" s="2004"/>
      <c r="O6" s="2004"/>
      <c r="P6" s="2004"/>
      <c r="Q6" s="2004"/>
      <c r="R6" s="2004"/>
    </row>
    <row r="9" spans="6:18" ht="13.5" thickBot="1">
      <c r="F9" s="2005" t="s">
        <v>219</v>
      </c>
      <c r="G9" s="2005"/>
      <c r="H9" s="2005"/>
      <c r="I9" s="2005"/>
      <c r="J9" s="2005"/>
      <c r="K9" s="2005"/>
      <c r="L9" s="2005"/>
      <c r="M9" s="2005"/>
      <c r="N9" s="2005"/>
      <c r="O9" s="2005"/>
      <c r="P9" s="2005"/>
      <c r="Q9" s="2005"/>
      <c r="R9" s="2005"/>
    </row>
    <row r="10" spans="1:18" ht="12.75">
      <c r="A10" s="1998" t="s">
        <v>812</v>
      </c>
      <c r="B10" s="1999"/>
      <c r="C10" s="2002" t="s">
        <v>802</v>
      </c>
      <c r="D10" s="2002"/>
      <c r="E10" s="2002"/>
      <c r="F10" s="2003"/>
      <c r="G10" s="2002" t="s">
        <v>888</v>
      </c>
      <c r="H10" s="2002"/>
      <c r="I10" s="2002"/>
      <c r="J10" s="2003"/>
      <c r="K10" s="2002" t="s">
        <v>889</v>
      </c>
      <c r="L10" s="2002"/>
      <c r="M10" s="2002"/>
      <c r="N10" s="2003"/>
      <c r="O10" s="2002" t="s">
        <v>948</v>
      </c>
      <c r="P10" s="2002"/>
      <c r="Q10" s="2002"/>
      <c r="R10" s="2003"/>
    </row>
    <row r="11" spans="1:18" s="5" customFormat="1" ht="34.5" customHeight="1" thickBot="1">
      <c r="A11" s="2000"/>
      <c r="B11" s="2001"/>
      <c r="C11" s="1286" t="s">
        <v>813</v>
      </c>
      <c r="D11" s="1244" t="s">
        <v>814</v>
      </c>
      <c r="E11" s="1244" t="s">
        <v>815</v>
      </c>
      <c r="F11" s="1299" t="s">
        <v>25</v>
      </c>
      <c r="G11" s="1244" t="s">
        <v>813</v>
      </c>
      <c r="H11" s="1244" t="s">
        <v>814</v>
      </c>
      <c r="I11" s="1244" t="s">
        <v>815</v>
      </c>
      <c r="J11" s="1299" t="s">
        <v>25</v>
      </c>
      <c r="K11" s="1244" t="s">
        <v>813</v>
      </c>
      <c r="L11" s="1244" t="s">
        <v>814</v>
      </c>
      <c r="M11" s="1244" t="s">
        <v>815</v>
      </c>
      <c r="N11" s="1299" t="s">
        <v>25</v>
      </c>
      <c r="O11" s="1244" t="s">
        <v>813</v>
      </c>
      <c r="P11" s="1244" t="s">
        <v>814</v>
      </c>
      <c r="Q11" s="1244" t="s">
        <v>815</v>
      </c>
      <c r="R11" s="1299" t="s">
        <v>25</v>
      </c>
    </row>
    <row r="12" spans="1:18" s="5" customFormat="1" ht="26.25" customHeight="1" thickBot="1">
      <c r="A12" s="1435" t="s">
        <v>167</v>
      </c>
      <c r="B12" s="1437" t="s">
        <v>896</v>
      </c>
      <c r="C12" s="1436">
        <v>0</v>
      </c>
      <c r="D12" s="1438">
        <v>0</v>
      </c>
      <c r="E12" s="1439">
        <v>0</v>
      </c>
      <c r="F12" s="1440">
        <v>0</v>
      </c>
      <c r="G12" s="1439">
        <v>0</v>
      </c>
      <c r="H12" s="1439">
        <v>0</v>
      </c>
      <c r="I12" s="1439">
        <v>0</v>
      </c>
      <c r="J12" s="1440">
        <v>0</v>
      </c>
      <c r="K12" s="1439"/>
      <c r="L12" s="1441">
        <v>907459</v>
      </c>
      <c r="M12" s="1441"/>
      <c r="N12" s="1442">
        <v>907459</v>
      </c>
      <c r="O12" s="1439"/>
      <c r="P12" s="1441">
        <v>907459</v>
      </c>
      <c r="Q12" s="1441"/>
      <c r="R12" s="1442">
        <v>907459</v>
      </c>
    </row>
    <row r="13" spans="1:18" s="12" customFormat="1" ht="13.5" thickBot="1">
      <c r="A13" s="1277" t="s">
        <v>169</v>
      </c>
      <c r="B13" s="1251" t="s">
        <v>817</v>
      </c>
      <c r="C13" s="1262">
        <f aca="true" t="shared" si="0" ref="C13:M13">SUM(C14:C18)</f>
        <v>12880192</v>
      </c>
      <c r="D13" s="1284">
        <f t="shared" si="0"/>
        <v>8390000</v>
      </c>
      <c r="E13" s="1284">
        <f t="shared" si="0"/>
        <v>0</v>
      </c>
      <c r="F13" s="1284">
        <f t="shared" si="0"/>
        <v>21270192</v>
      </c>
      <c r="G13" s="1284">
        <f t="shared" si="0"/>
        <v>12880192</v>
      </c>
      <c r="H13" s="1284">
        <f t="shared" si="0"/>
        <v>8390000</v>
      </c>
      <c r="I13" s="1284">
        <f t="shared" si="0"/>
        <v>0</v>
      </c>
      <c r="J13" s="1284">
        <f t="shared" si="0"/>
        <v>21270192</v>
      </c>
      <c r="K13" s="1284">
        <f>SUM(K14:K18)</f>
        <v>12880192</v>
      </c>
      <c r="L13" s="1284">
        <f t="shared" si="0"/>
        <v>8390000</v>
      </c>
      <c r="M13" s="1284">
        <f t="shared" si="0"/>
        <v>0</v>
      </c>
      <c r="N13" s="1284">
        <f>SUM(N14:N18)</f>
        <v>21270192</v>
      </c>
      <c r="O13" s="1284">
        <f>SUM(O14:O18)</f>
        <v>20650698</v>
      </c>
      <c r="P13" s="1284">
        <f>SUM(P14:P18)</f>
        <v>0</v>
      </c>
      <c r="Q13" s="1284">
        <f>SUM(Q14:Q18)</f>
        <v>0</v>
      </c>
      <c r="R13" s="1284">
        <f>SUM(R14:R18)</f>
        <v>20650698</v>
      </c>
    </row>
    <row r="14" spans="1:18" s="148" customFormat="1" ht="12.75">
      <c r="A14" s="1279"/>
      <c r="B14" s="1238" t="s">
        <v>839</v>
      </c>
      <c r="C14" s="1265">
        <v>130092</v>
      </c>
      <c r="D14" s="1266"/>
      <c r="E14" s="1266"/>
      <c r="F14" s="1266">
        <f>SUM(C14:E14)</f>
        <v>130092</v>
      </c>
      <c r="G14" s="1265">
        <v>130092</v>
      </c>
      <c r="H14" s="1266"/>
      <c r="I14" s="1266"/>
      <c r="J14" s="1266">
        <f>SUM(G14:I14)</f>
        <v>130092</v>
      </c>
      <c r="K14" s="1265">
        <v>116892</v>
      </c>
      <c r="L14" s="1266"/>
      <c r="M14" s="1266"/>
      <c r="N14" s="1266">
        <f>SUM(K14:M14)</f>
        <v>116892</v>
      </c>
      <c r="O14" s="1265">
        <v>89708</v>
      </c>
      <c r="P14" s="1266"/>
      <c r="Q14" s="1266"/>
      <c r="R14" s="1266">
        <f>SUM(O14:Q14)</f>
        <v>89708</v>
      </c>
    </row>
    <row r="15" spans="1:18" s="148" customFormat="1" ht="12.75">
      <c r="A15" s="1279"/>
      <c r="B15" s="1238" t="s">
        <v>840</v>
      </c>
      <c r="C15" s="1265">
        <v>140000</v>
      </c>
      <c r="D15" s="1266"/>
      <c r="E15" s="1266"/>
      <c r="F15" s="1266">
        <f>SUM(C15:E15)</f>
        <v>140000</v>
      </c>
      <c r="G15" s="1265">
        <v>140000</v>
      </c>
      <c r="H15" s="1266"/>
      <c r="I15" s="1266"/>
      <c r="J15" s="1266">
        <f>SUM(G15:I15)</f>
        <v>140000</v>
      </c>
      <c r="K15" s="1265">
        <v>139000</v>
      </c>
      <c r="L15" s="1266"/>
      <c r="M15" s="1266"/>
      <c r="N15" s="1266">
        <f>SUM(K15:M15)</f>
        <v>139000</v>
      </c>
      <c r="O15" s="1265">
        <v>83600</v>
      </c>
      <c r="P15" s="1266"/>
      <c r="Q15" s="1266"/>
      <c r="R15" s="1266">
        <f>SUM(O15:Q15)</f>
        <v>83600</v>
      </c>
    </row>
    <row r="16" spans="1:18" s="148" customFormat="1" ht="12.75">
      <c r="A16" s="1279"/>
      <c r="B16" s="1238" t="s">
        <v>819</v>
      </c>
      <c r="C16" s="1265">
        <v>9893700</v>
      </c>
      <c r="D16" s="1266">
        <v>6606300</v>
      </c>
      <c r="E16" s="1266"/>
      <c r="F16" s="1266">
        <f>SUM(C16:E16)</f>
        <v>16500000</v>
      </c>
      <c r="G16" s="1265">
        <v>9893700</v>
      </c>
      <c r="H16" s="1266">
        <v>6606300</v>
      </c>
      <c r="I16" s="1266"/>
      <c r="J16" s="1266">
        <f>SUM(G16:I16)</f>
        <v>16500000</v>
      </c>
      <c r="K16" s="1265">
        <v>9893700</v>
      </c>
      <c r="L16" s="1266">
        <v>6606300</v>
      </c>
      <c r="M16" s="1266"/>
      <c r="N16" s="1266">
        <f>SUM(K16:M16)</f>
        <v>16500000</v>
      </c>
      <c r="O16" s="1265">
        <v>15670701</v>
      </c>
      <c r="P16" s="1266"/>
      <c r="Q16" s="1266"/>
      <c r="R16" s="1266">
        <f>SUM(O16:Q16)</f>
        <v>15670701</v>
      </c>
    </row>
    <row r="17" spans="1:18" s="148" customFormat="1" ht="25.5">
      <c r="A17" s="1279"/>
      <c r="B17" s="1238" t="s">
        <v>820</v>
      </c>
      <c r="C17" s="1265">
        <v>2716300</v>
      </c>
      <c r="D17" s="1266">
        <v>1783700</v>
      </c>
      <c r="E17" s="1266"/>
      <c r="F17" s="1266">
        <f>SUM(C17:E17)</f>
        <v>4500000</v>
      </c>
      <c r="G17" s="1265">
        <v>2716300</v>
      </c>
      <c r="H17" s="1266">
        <v>1783700</v>
      </c>
      <c r="I17" s="1266"/>
      <c r="J17" s="1266">
        <f>SUM(G17:I17)</f>
        <v>4500000</v>
      </c>
      <c r="K17" s="1265">
        <v>2716300</v>
      </c>
      <c r="L17" s="1266">
        <v>1783700</v>
      </c>
      <c r="M17" s="1266"/>
      <c r="N17" s="1266">
        <f>SUM(K17:M17)</f>
        <v>4500000</v>
      </c>
      <c r="O17" s="1265">
        <v>4277524</v>
      </c>
      <c r="P17" s="1266"/>
      <c r="Q17" s="1266"/>
      <c r="R17" s="1266">
        <f>SUM(O17:Q17)</f>
        <v>4277524</v>
      </c>
    </row>
    <row r="18" spans="1:18" s="148" customFormat="1" ht="13.5" thickBot="1">
      <c r="A18" s="1280"/>
      <c r="B18" s="1238" t="s">
        <v>835</v>
      </c>
      <c r="C18" s="1267">
        <v>100</v>
      </c>
      <c r="D18" s="1260"/>
      <c r="E18" s="1260"/>
      <c r="F18" s="1260">
        <f>SUM(C18:E18)</f>
        <v>100</v>
      </c>
      <c r="G18" s="1267">
        <v>100</v>
      </c>
      <c r="H18" s="1260"/>
      <c r="I18" s="1260"/>
      <c r="J18" s="1260">
        <f>SUM(G18:I18)</f>
        <v>100</v>
      </c>
      <c r="K18" s="1267">
        <v>14300</v>
      </c>
      <c r="L18" s="1260"/>
      <c r="M18" s="1260"/>
      <c r="N18" s="1260">
        <f>SUM(K18:M18)</f>
        <v>14300</v>
      </c>
      <c r="O18" s="1267">
        <v>529165</v>
      </c>
      <c r="P18" s="1260"/>
      <c r="Q18" s="1260"/>
      <c r="R18" s="1260">
        <f>SUM(O18:Q18)</f>
        <v>529165</v>
      </c>
    </row>
    <row r="19" spans="1:18" s="879" customFormat="1" ht="16.5" thickBot="1">
      <c r="A19" s="2006" t="s">
        <v>532</v>
      </c>
      <c r="B19" s="2007"/>
      <c r="C19" s="1269">
        <f aca="true" t="shared" si="1" ref="C19:N19">SUM(C13)</f>
        <v>12880192</v>
      </c>
      <c r="D19" s="1269">
        <f t="shared" si="1"/>
        <v>8390000</v>
      </c>
      <c r="E19" s="1269">
        <f t="shared" si="1"/>
        <v>0</v>
      </c>
      <c r="F19" s="1269">
        <f t="shared" si="1"/>
        <v>21270192</v>
      </c>
      <c r="G19" s="1269">
        <f t="shared" si="1"/>
        <v>12880192</v>
      </c>
      <c r="H19" s="1269">
        <f t="shared" si="1"/>
        <v>8390000</v>
      </c>
      <c r="I19" s="1269">
        <f t="shared" si="1"/>
        <v>0</v>
      </c>
      <c r="J19" s="1269">
        <f t="shared" si="1"/>
        <v>21270192</v>
      </c>
      <c r="K19" s="1269">
        <f t="shared" si="1"/>
        <v>12880192</v>
      </c>
      <c r="L19" s="1269">
        <f t="shared" si="1"/>
        <v>8390000</v>
      </c>
      <c r="M19" s="1269">
        <f t="shared" si="1"/>
        <v>0</v>
      </c>
      <c r="N19" s="1269">
        <f t="shared" si="1"/>
        <v>21270192</v>
      </c>
      <c r="O19" s="1269">
        <f>SUM(O13)</f>
        <v>20650698</v>
      </c>
      <c r="P19" s="1269">
        <f>SUM(P13)</f>
        <v>0</v>
      </c>
      <c r="Q19" s="1269">
        <f>SUM(Q13)</f>
        <v>0</v>
      </c>
      <c r="R19" s="1269">
        <f>SUM(R13)</f>
        <v>20650698</v>
      </c>
    </row>
    <row r="20" spans="1:18" ht="25.5">
      <c r="A20" s="1250"/>
      <c r="B20" s="1238" t="s">
        <v>824</v>
      </c>
      <c r="C20" s="1271">
        <v>3099073</v>
      </c>
      <c r="D20" s="1271"/>
      <c r="E20" s="1271"/>
      <c r="F20" s="1271">
        <f>SUM(C20:E20)</f>
        <v>3099073</v>
      </c>
      <c r="G20" s="1271">
        <v>3099073</v>
      </c>
      <c r="H20" s="1271"/>
      <c r="I20" s="1271"/>
      <c r="J20" s="1271">
        <f>SUM(G20:I20)</f>
        <v>3099073</v>
      </c>
      <c r="K20" s="1271">
        <v>3099073</v>
      </c>
      <c r="L20" s="1271"/>
      <c r="M20" s="1271"/>
      <c r="N20" s="1271">
        <f>SUM(K20:M20)</f>
        <v>3099073</v>
      </c>
      <c r="O20" s="1271">
        <v>3099073</v>
      </c>
      <c r="P20" s="1271"/>
      <c r="Q20" s="1271"/>
      <c r="R20" s="1271">
        <f>SUM(O20:Q20)</f>
        <v>3099073</v>
      </c>
    </row>
    <row r="21" spans="1:18" ht="12.75">
      <c r="A21" s="644"/>
      <c r="B21" s="1239" t="s">
        <v>825</v>
      </c>
      <c r="C21" s="1272">
        <v>3099073</v>
      </c>
      <c r="D21" s="1272"/>
      <c r="E21" s="1272"/>
      <c r="F21" s="1271">
        <f>SUM(C21:E21)</f>
        <v>3099073</v>
      </c>
      <c r="G21" s="1272">
        <v>3099073</v>
      </c>
      <c r="H21" s="1272"/>
      <c r="I21" s="1272"/>
      <c r="J21" s="1271">
        <f>SUM(G21:I21)</f>
        <v>3099073</v>
      </c>
      <c r="K21" s="1272">
        <v>3099073</v>
      </c>
      <c r="L21" s="1272"/>
      <c r="M21" s="1272"/>
      <c r="N21" s="1271">
        <f>SUM(K21:M21)</f>
        <v>3099073</v>
      </c>
      <c r="O21" s="1272">
        <v>3099073</v>
      </c>
      <c r="P21" s="1272"/>
      <c r="Q21" s="1272"/>
      <c r="R21" s="1271">
        <f>SUM(O21:Q21)</f>
        <v>3099073</v>
      </c>
    </row>
    <row r="22" spans="1:18" ht="26.25" thickBot="1">
      <c r="A22" s="1252"/>
      <c r="B22" s="1253" t="s">
        <v>826</v>
      </c>
      <c r="C22" s="1273">
        <v>54963391</v>
      </c>
      <c r="D22" s="1273">
        <v>10441407</v>
      </c>
      <c r="E22" s="1273"/>
      <c r="F22" s="1271">
        <f>SUM(C22:E22)</f>
        <v>65404798</v>
      </c>
      <c r="G22" s="1273">
        <v>54963391</v>
      </c>
      <c r="H22" s="1273">
        <v>10441407</v>
      </c>
      <c r="I22" s="1273"/>
      <c r="J22" s="1271">
        <f>SUM(G22:I22)</f>
        <v>65404798</v>
      </c>
      <c r="K22" s="1273">
        <v>55012923</v>
      </c>
      <c r="L22" s="1273">
        <v>10441407</v>
      </c>
      <c r="M22" s="1273"/>
      <c r="N22" s="1271">
        <f>SUM(K22:M22)</f>
        <v>65454330</v>
      </c>
      <c r="O22" s="1273">
        <v>61845331</v>
      </c>
      <c r="P22" s="1273">
        <v>1678002</v>
      </c>
      <c r="Q22" s="1273"/>
      <c r="R22" s="1271">
        <f>SUM(O22:Q22)</f>
        <v>63523333</v>
      </c>
    </row>
    <row r="23" spans="1:18" ht="16.5" thickBot="1">
      <c r="A23" s="1256"/>
      <c r="B23" s="1257" t="s">
        <v>827</v>
      </c>
      <c r="C23" s="1274">
        <f aca="true" t="shared" si="2" ref="C23:N23">SUM(C21:C22)</f>
        <v>58062464</v>
      </c>
      <c r="D23" s="1274">
        <f t="shared" si="2"/>
        <v>10441407</v>
      </c>
      <c r="E23" s="1274">
        <f t="shared" si="2"/>
        <v>0</v>
      </c>
      <c r="F23" s="1274">
        <f t="shared" si="2"/>
        <v>68503871</v>
      </c>
      <c r="G23" s="1274">
        <f t="shared" si="2"/>
        <v>58062464</v>
      </c>
      <c r="H23" s="1274">
        <f t="shared" si="2"/>
        <v>10441407</v>
      </c>
      <c r="I23" s="1274">
        <f t="shared" si="2"/>
        <v>0</v>
      </c>
      <c r="J23" s="1274">
        <f t="shared" si="2"/>
        <v>68503871</v>
      </c>
      <c r="K23" s="1274">
        <f t="shared" si="2"/>
        <v>58111996</v>
      </c>
      <c r="L23" s="1274">
        <f t="shared" si="2"/>
        <v>10441407</v>
      </c>
      <c r="M23" s="1274">
        <f t="shared" si="2"/>
        <v>0</v>
      </c>
      <c r="N23" s="1274">
        <f t="shared" si="2"/>
        <v>68553403</v>
      </c>
      <c r="O23" s="1274">
        <f>SUM(O21:O22)</f>
        <v>64944404</v>
      </c>
      <c r="P23" s="1274">
        <f>SUM(P21:P22)</f>
        <v>1678002</v>
      </c>
      <c r="Q23" s="1274">
        <f>SUM(Q21:Q22)</f>
        <v>0</v>
      </c>
      <c r="R23" s="1274">
        <f>SUM(R21:R22)</f>
        <v>66622406</v>
      </c>
    </row>
    <row r="24" spans="1:18" ht="16.5" thickBot="1">
      <c r="A24" s="1996" t="s">
        <v>157</v>
      </c>
      <c r="B24" s="1997"/>
      <c r="C24" s="1275">
        <f aca="true" t="shared" si="3" ref="C24:K24">SUM(C19+C23)</f>
        <v>70942656</v>
      </c>
      <c r="D24" s="1275">
        <f t="shared" si="3"/>
        <v>18831407</v>
      </c>
      <c r="E24" s="1275">
        <f t="shared" si="3"/>
        <v>0</v>
      </c>
      <c r="F24" s="1276">
        <f t="shared" si="3"/>
        <v>89774063</v>
      </c>
      <c r="G24" s="1275">
        <f t="shared" si="3"/>
        <v>70942656</v>
      </c>
      <c r="H24" s="1275">
        <f t="shared" si="3"/>
        <v>18831407</v>
      </c>
      <c r="I24" s="1275">
        <f t="shared" si="3"/>
        <v>0</v>
      </c>
      <c r="J24" s="1276">
        <f t="shared" si="3"/>
        <v>89774063</v>
      </c>
      <c r="K24" s="1275">
        <f t="shared" si="3"/>
        <v>70992188</v>
      </c>
      <c r="L24" s="1275">
        <f>SUM(L19+L23)+L12</f>
        <v>19738866</v>
      </c>
      <c r="M24" s="1275">
        <f>SUM(M19+M23)</f>
        <v>0</v>
      </c>
      <c r="N24" s="1276">
        <f>SUM(N19+N23)+N12</f>
        <v>90731054</v>
      </c>
      <c r="O24" s="1275">
        <f>SUM(O19+O23)</f>
        <v>85595102</v>
      </c>
      <c r="P24" s="1275">
        <f>SUM(P19+P23)+P12</f>
        <v>2585461</v>
      </c>
      <c r="Q24" s="1275">
        <f>SUM(Q19+Q23)</f>
        <v>0</v>
      </c>
      <c r="R24" s="1276">
        <f>SUM(R19+R23)+R12</f>
        <v>88180563</v>
      </c>
    </row>
    <row r="25" spans="1:18" ht="12.75">
      <c r="A25" s="1293" t="s">
        <v>167</v>
      </c>
      <c r="B25" s="1239" t="s">
        <v>829</v>
      </c>
      <c r="C25" s="1247">
        <v>30396020</v>
      </c>
      <c r="D25" s="1247">
        <v>11707596</v>
      </c>
      <c r="E25" s="1246"/>
      <c r="F25" s="1247">
        <f>SUM(C25:E25)</f>
        <v>42103616</v>
      </c>
      <c r="G25" s="1247">
        <v>30396020</v>
      </c>
      <c r="H25" s="1247">
        <v>11707596</v>
      </c>
      <c r="I25" s="1246"/>
      <c r="J25" s="1247">
        <f>SUM(G25:I25)</f>
        <v>42103616</v>
      </c>
      <c r="K25" s="1247">
        <v>30396020</v>
      </c>
      <c r="L25" s="1247">
        <v>12456014</v>
      </c>
      <c r="M25" s="1246"/>
      <c r="N25" s="1247">
        <f>SUM(K25:M25)</f>
        <v>42852034</v>
      </c>
      <c r="O25" s="1247">
        <v>42041757</v>
      </c>
      <c r="P25" s="1247">
        <v>743819</v>
      </c>
      <c r="Q25" s="1246"/>
      <c r="R25" s="1247">
        <f>SUM(O25:Q25)</f>
        <v>42785576</v>
      </c>
    </row>
    <row r="26" spans="1:18" ht="25.5">
      <c r="A26" s="1294" t="s">
        <v>169</v>
      </c>
      <c r="B26" s="1239" t="s">
        <v>830</v>
      </c>
      <c r="C26" s="1243">
        <v>6994636</v>
      </c>
      <c r="D26" s="1243">
        <v>1623811</v>
      </c>
      <c r="E26" s="1242"/>
      <c r="F26" s="1247">
        <f>SUM(C26:E26)</f>
        <v>8618447</v>
      </c>
      <c r="G26" s="1243">
        <v>6994636</v>
      </c>
      <c r="H26" s="1243">
        <v>1623811</v>
      </c>
      <c r="I26" s="1242"/>
      <c r="J26" s="1247">
        <f>SUM(G26:I26)</f>
        <v>8618447</v>
      </c>
      <c r="K26" s="1243">
        <v>7044168</v>
      </c>
      <c r="L26" s="1243">
        <v>1782852</v>
      </c>
      <c r="M26" s="1242"/>
      <c r="N26" s="1247">
        <f>SUM(K26:M26)</f>
        <v>8827020</v>
      </c>
      <c r="O26" s="1243">
        <v>8879710</v>
      </c>
      <c r="P26" s="1243">
        <v>163640</v>
      </c>
      <c r="Q26" s="1242"/>
      <c r="R26" s="1247">
        <f>SUM(O26:Q26)</f>
        <v>9043350</v>
      </c>
    </row>
    <row r="27" spans="1:18" s="12" customFormat="1" ht="12.75">
      <c r="A27" s="1294" t="s">
        <v>176</v>
      </c>
      <c r="B27" s="1037" t="s">
        <v>831</v>
      </c>
      <c r="C27" s="1243">
        <v>33552000</v>
      </c>
      <c r="D27" s="1243">
        <v>5000000</v>
      </c>
      <c r="E27" s="1243"/>
      <c r="F27" s="1247">
        <f>SUM(C27:E27)</f>
        <v>38552000</v>
      </c>
      <c r="G27" s="1243">
        <v>33552000</v>
      </c>
      <c r="H27" s="1243">
        <v>5000000</v>
      </c>
      <c r="I27" s="1243"/>
      <c r="J27" s="1247">
        <f>SUM(G27:I27)</f>
        <v>38552000</v>
      </c>
      <c r="K27" s="1243">
        <v>33552000</v>
      </c>
      <c r="L27" s="1243">
        <v>5000000</v>
      </c>
      <c r="M27" s="1243"/>
      <c r="N27" s="1247">
        <f>SUM(K27:M27)</f>
        <v>38552000</v>
      </c>
      <c r="O27" s="1243">
        <v>35581094</v>
      </c>
      <c r="P27" s="1243"/>
      <c r="Q27" s="1243"/>
      <c r="R27" s="1247">
        <f>SUM(O27:Q27)</f>
        <v>35581094</v>
      </c>
    </row>
    <row r="28" spans="1:18" s="12" customFormat="1" ht="12.75">
      <c r="A28" s="1294" t="s">
        <v>186</v>
      </c>
      <c r="B28" s="1037" t="s">
        <v>832</v>
      </c>
      <c r="C28" s="1288"/>
      <c r="D28" s="1288">
        <v>500000</v>
      </c>
      <c r="E28" s="1288">
        <f>SUM(E29:E30)</f>
        <v>0</v>
      </c>
      <c r="F28" s="1247">
        <f>SUM(C28:E28)</f>
        <v>500000</v>
      </c>
      <c r="G28" s="1288"/>
      <c r="H28" s="1288">
        <v>500000</v>
      </c>
      <c r="I28" s="1288">
        <f>SUM(I29:I30)</f>
        <v>0</v>
      </c>
      <c r="J28" s="1247">
        <f>SUM(G28:I28)</f>
        <v>500000</v>
      </c>
      <c r="K28" s="1288"/>
      <c r="L28" s="1288">
        <v>500000</v>
      </c>
      <c r="M28" s="1288">
        <f>SUM(M29:M30)</f>
        <v>0</v>
      </c>
      <c r="N28" s="1247">
        <f>SUM(K28:M28)</f>
        <v>500000</v>
      </c>
      <c r="O28" s="1288"/>
      <c r="P28" s="1288">
        <v>770543</v>
      </c>
      <c r="Q28" s="1288">
        <f>SUM(Q29:Q30)</f>
        <v>0</v>
      </c>
      <c r="R28" s="1247">
        <f>SUM(O28:Q28)</f>
        <v>770543</v>
      </c>
    </row>
    <row r="29" spans="1:18" s="148" customFormat="1" ht="12.75">
      <c r="A29" s="1240"/>
      <c r="B29" s="1240" t="s">
        <v>132</v>
      </c>
      <c r="C29" s="1258"/>
      <c r="D29" s="1240">
        <v>500000</v>
      </c>
      <c r="E29" s="1240"/>
      <c r="F29" s="1240">
        <v>500000</v>
      </c>
      <c r="G29" s="1258"/>
      <c r="H29" s="1240">
        <v>500000</v>
      </c>
      <c r="I29" s="1240"/>
      <c r="J29" s="1240">
        <v>500000</v>
      </c>
      <c r="K29" s="1258"/>
      <c r="L29" s="1240">
        <v>500000</v>
      </c>
      <c r="M29" s="1240"/>
      <c r="N29" s="1240">
        <v>500000</v>
      </c>
      <c r="O29" s="1258"/>
      <c r="P29" s="1240">
        <v>770543</v>
      </c>
      <c r="Q29" s="1240"/>
      <c r="R29" s="1240">
        <v>500000</v>
      </c>
    </row>
    <row r="30" spans="1:18" s="148" customFormat="1" ht="13.5" thickBot="1">
      <c r="A30" s="1259"/>
      <c r="B30" s="1259" t="s">
        <v>134</v>
      </c>
      <c r="C30" s="1259"/>
      <c r="D30" s="1259"/>
      <c r="E30" s="1259"/>
      <c r="F30" s="1259"/>
      <c r="G30" s="1259"/>
      <c r="H30" s="1259"/>
      <c r="I30" s="1259"/>
      <c r="J30" s="1259"/>
      <c r="K30" s="1259"/>
      <c r="L30" s="1259"/>
      <c r="M30" s="1259"/>
      <c r="N30" s="1259"/>
      <c r="O30" s="1259"/>
      <c r="P30" s="1259"/>
      <c r="Q30" s="1259"/>
      <c r="R30" s="1259"/>
    </row>
    <row r="31" spans="1:18" ht="16.5" thickBot="1">
      <c r="A31" s="1289"/>
      <c r="B31" s="1290" t="s">
        <v>833</v>
      </c>
      <c r="C31" s="1291">
        <f aca="true" t="shared" si="4" ref="C31:N31">SUM(C25:C28)</f>
        <v>70942656</v>
      </c>
      <c r="D31" s="1291">
        <f t="shared" si="4"/>
        <v>18831407</v>
      </c>
      <c r="E31" s="1291">
        <f t="shared" si="4"/>
        <v>0</v>
      </c>
      <c r="F31" s="1292">
        <f t="shared" si="4"/>
        <v>89774063</v>
      </c>
      <c r="G31" s="1291">
        <f t="shared" si="4"/>
        <v>70942656</v>
      </c>
      <c r="H31" s="1291">
        <f t="shared" si="4"/>
        <v>18831407</v>
      </c>
      <c r="I31" s="1291">
        <f t="shared" si="4"/>
        <v>0</v>
      </c>
      <c r="J31" s="1292">
        <f t="shared" si="4"/>
        <v>89774063</v>
      </c>
      <c r="K31" s="1291">
        <f t="shared" si="4"/>
        <v>70992188</v>
      </c>
      <c r="L31" s="1291">
        <f t="shared" si="4"/>
        <v>19738866</v>
      </c>
      <c r="M31" s="1291">
        <f t="shared" si="4"/>
        <v>0</v>
      </c>
      <c r="N31" s="1292">
        <f t="shared" si="4"/>
        <v>90731054</v>
      </c>
      <c r="O31" s="1291">
        <f>SUM(O25:O28)</f>
        <v>86502561</v>
      </c>
      <c r="P31" s="1291">
        <f>SUM(P25:P28)</f>
        <v>1678002</v>
      </c>
      <c r="Q31" s="1291">
        <f>SUM(Q25:Q28)</f>
        <v>0</v>
      </c>
      <c r="R31" s="1292">
        <f>SUM(R25:R28)</f>
        <v>88180563</v>
      </c>
    </row>
  </sheetData>
  <sheetProtection/>
  <mergeCells count="12">
    <mergeCell ref="A1:N1"/>
    <mergeCell ref="A24:B24"/>
    <mergeCell ref="A10:B11"/>
    <mergeCell ref="C10:F10"/>
    <mergeCell ref="A19:B19"/>
    <mergeCell ref="G10:J10"/>
    <mergeCell ref="K10:N10"/>
    <mergeCell ref="F3:N3"/>
    <mergeCell ref="O10:R10"/>
    <mergeCell ref="A6:R6"/>
    <mergeCell ref="A2:R2"/>
    <mergeCell ref="F9:R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R72"/>
  <sheetViews>
    <sheetView showGridLines="0" view="pageBreakPreview" zoomScale="60" zoomScalePageLayoutView="0" workbookViewId="0" topLeftCell="A1">
      <selection activeCell="L12" sqref="L1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8.7109375" style="0" hidden="1" customWidth="1"/>
    <col min="4" max="4" width="16.7109375" style="0" hidden="1" customWidth="1"/>
    <col min="5" max="5" width="17.7109375" style="0" hidden="1" customWidth="1"/>
    <col min="6" max="6" width="17.28125" style="0" hidden="1" customWidth="1"/>
    <col min="7" max="7" width="18.7109375" style="0" hidden="1" customWidth="1"/>
    <col min="8" max="8" width="16.7109375" style="0" hidden="1" customWidth="1"/>
    <col min="9" max="9" width="17.7109375" style="0" hidden="1" customWidth="1"/>
    <col min="10" max="10" width="17.28125" style="0" hidden="1" customWidth="1"/>
    <col min="11" max="11" width="17.421875" style="0" hidden="1" customWidth="1"/>
    <col min="12" max="12" width="20.421875" style="0" customWidth="1"/>
    <col min="13" max="13" width="18.8515625" style="0" customWidth="1"/>
    <col min="14" max="14" width="22.28125" style="0" customWidth="1"/>
    <col min="15" max="15" width="17.421875" style="0" customWidth="1"/>
    <col min="16" max="16" width="20.421875" style="0" customWidth="1"/>
    <col min="17" max="17" width="18.8515625" style="0" customWidth="1"/>
    <col min="18" max="18" width="22.28125" style="0" customWidth="1"/>
  </cols>
  <sheetData>
    <row r="1" spans="1:14" ht="15">
      <c r="A1" s="2008" t="s">
        <v>1166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</row>
    <row r="2" spans="1:18" ht="12.75">
      <c r="A2" s="1747" t="s">
        <v>1133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  <c r="O2" s="1747"/>
      <c r="P2" s="1747"/>
      <c r="Q2" s="1747"/>
      <c r="R2" s="1747"/>
    </row>
    <row r="3" spans="1:18" ht="12.75">
      <c r="A3" s="1236"/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747" t="s">
        <v>1165</v>
      </c>
      <c r="M3" s="1747"/>
      <c r="N3" s="1747"/>
      <c r="O3" s="1747"/>
      <c r="P3" s="1747"/>
      <c r="Q3" s="1236"/>
      <c r="R3" s="1236"/>
    </row>
    <row r="4" spans="1:18" ht="12.75">
      <c r="A4" s="1236"/>
      <c r="B4" s="1236"/>
      <c r="C4" s="1236"/>
      <c r="D4" s="1236"/>
      <c r="E4" s="1236"/>
      <c r="F4" s="1236"/>
      <c r="G4" s="1236"/>
      <c r="H4" s="1236"/>
      <c r="I4" s="1236"/>
      <c r="J4" s="1236"/>
      <c r="K4" s="1236"/>
      <c r="L4" s="1236"/>
      <c r="M4" s="1236"/>
      <c r="N4" s="1236"/>
      <c r="O4" s="1236"/>
      <c r="P4" s="1236"/>
      <c r="Q4" s="1236"/>
      <c r="R4" s="1236"/>
    </row>
    <row r="5" spans="1:18" ht="12.75">
      <c r="A5" s="1236"/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</row>
    <row r="6" spans="1:18" ht="29.25" customHeight="1">
      <c r="A6" s="2004" t="s">
        <v>841</v>
      </c>
      <c r="B6" s="2004"/>
      <c r="C6" s="2004"/>
      <c r="D6" s="2004"/>
      <c r="E6" s="2004"/>
      <c r="F6" s="2004"/>
      <c r="G6" s="2004"/>
      <c r="H6" s="2004"/>
      <c r="I6" s="2004"/>
      <c r="J6" s="2004"/>
      <c r="K6" s="2004"/>
      <c r="L6" s="2004"/>
      <c r="M6" s="2004"/>
      <c r="N6" s="2004"/>
      <c r="O6" s="2004"/>
      <c r="P6" s="2004"/>
      <c r="Q6" s="2004"/>
      <c r="R6" s="2004"/>
    </row>
    <row r="9" spans="14:18" ht="13.5" thickBot="1">
      <c r="N9" t="s">
        <v>219</v>
      </c>
      <c r="R9" t="s">
        <v>219</v>
      </c>
    </row>
    <row r="10" spans="1:18" ht="12.75">
      <c r="A10" s="1998" t="s">
        <v>812</v>
      </c>
      <c r="B10" s="1999"/>
      <c r="C10" s="2002" t="s">
        <v>802</v>
      </c>
      <c r="D10" s="2002"/>
      <c r="E10" s="2002"/>
      <c r="F10" s="2003"/>
      <c r="G10" s="2002" t="s">
        <v>888</v>
      </c>
      <c r="H10" s="2002"/>
      <c r="I10" s="2002"/>
      <c r="J10" s="2013"/>
      <c r="K10" s="2012" t="s">
        <v>889</v>
      </c>
      <c r="L10" s="2002"/>
      <c r="M10" s="2002"/>
      <c r="N10" s="2003"/>
      <c r="O10" s="2012" t="s">
        <v>948</v>
      </c>
      <c r="P10" s="2002"/>
      <c r="Q10" s="2002"/>
      <c r="R10" s="2003"/>
    </row>
    <row r="11" spans="1:18" s="5" customFormat="1" ht="26.25" customHeight="1">
      <c r="A11" s="2010"/>
      <c r="B11" s="2011"/>
      <c r="C11" s="1244" t="s">
        <v>813</v>
      </c>
      <c r="D11" s="1244" t="s">
        <v>814</v>
      </c>
      <c r="E11" s="1244" t="s">
        <v>815</v>
      </c>
      <c r="F11" s="1299" t="s">
        <v>25</v>
      </c>
      <c r="G11" s="1244" t="s">
        <v>813</v>
      </c>
      <c r="H11" s="1244" t="s">
        <v>814</v>
      </c>
      <c r="I11" s="1244" t="s">
        <v>815</v>
      </c>
      <c r="J11" s="1444" t="s">
        <v>25</v>
      </c>
      <c r="K11" s="1390" t="s">
        <v>813</v>
      </c>
      <c r="L11" s="1244" t="s">
        <v>814</v>
      </c>
      <c r="M11" s="1244" t="s">
        <v>815</v>
      </c>
      <c r="N11" s="1299" t="s">
        <v>25</v>
      </c>
      <c r="O11" s="1390" t="s">
        <v>813</v>
      </c>
      <c r="P11" s="1244" t="s">
        <v>814</v>
      </c>
      <c r="Q11" s="1244" t="s">
        <v>815</v>
      </c>
      <c r="R11" s="1299" t="s">
        <v>25</v>
      </c>
    </row>
    <row r="12" spans="1:18" s="5" customFormat="1" ht="26.25" customHeight="1">
      <c r="A12" s="1237"/>
      <c r="B12" s="1238" t="s">
        <v>842</v>
      </c>
      <c r="C12" s="1300"/>
      <c r="D12" s="1300"/>
      <c r="E12" s="1300">
        <v>60171959</v>
      </c>
      <c r="F12" s="1300">
        <f aca="true" t="shared" si="0" ref="F12:F17">SUM(C12:E12)</f>
        <v>60171959</v>
      </c>
      <c r="G12" s="1300"/>
      <c r="H12" s="1300"/>
      <c r="I12" s="1300">
        <v>60171959</v>
      </c>
      <c r="J12" s="1445">
        <f aca="true" t="shared" si="1" ref="J12:J17">SUM(G12:I12)</f>
        <v>60171959</v>
      </c>
      <c r="K12" s="1461"/>
      <c r="L12" s="1300"/>
      <c r="M12" s="1300">
        <v>60171959</v>
      </c>
      <c r="N12" s="1462">
        <f aca="true" t="shared" si="2" ref="N12:N17">SUM(K12:M12)</f>
        <v>60171959</v>
      </c>
      <c r="O12" s="1461"/>
      <c r="P12" s="1300"/>
      <c r="Q12" s="1300">
        <v>61362783</v>
      </c>
      <c r="R12" s="1462">
        <f aca="true" t="shared" si="3" ref="R12:R17">SUM(O12:Q12)</f>
        <v>61362783</v>
      </c>
    </row>
    <row r="13" spans="1:18" s="5" customFormat="1" ht="26.25" customHeight="1">
      <c r="A13" s="1237"/>
      <c r="B13" s="1238" t="s">
        <v>843</v>
      </c>
      <c r="C13" s="1300"/>
      <c r="D13" s="1300"/>
      <c r="E13" s="1300">
        <v>68089907</v>
      </c>
      <c r="F13" s="1300">
        <f t="shared" si="0"/>
        <v>68089907</v>
      </c>
      <c r="G13" s="1300"/>
      <c r="H13" s="1300"/>
      <c r="I13" s="1300">
        <v>68089907</v>
      </c>
      <c r="J13" s="1445">
        <f t="shared" si="1"/>
        <v>68089907</v>
      </c>
      <c r="K13" s="1461"/>
      <c r="L13" s="1300"/>
      <c r="M13" s="1300">
        <v>68089907</v>
      </c>
      <c r="N13" s="1462">
        <f t="shared" si="2"/>
        <v>68089907</v>
      </c>
      <c r="O13" s="1461"/>
      <c r="P13" s="1300"/>
      <c r="Q13" s="1300">
        <v>71201042</v>
      </c>
      <c r="R13" s="1462">
        <f t="shared" si="3"/>
        <v>71201042</v>
      </c>
    </row>
    <row r="14" spans="1:18" s="5" customFormat="1" ht="26.25" customHeight="1">
      <c r="A14" s="1237"/>
      <c r="B14" s="1238" t="s">
        <v>844</v>
      </c>
      <c r="C14" s="1300"/>
      <c r="D14" s="1300"/>
      <c r="E14" s="1300">
        <v>50423193</v>
      </c>
      <c r="F14" s="1300">
        <f t="shared" si="0"/>
        <v>50423193</v>
      </c>
      <c r="G14" s="1300"/>
      <c r="H14" s="1300"/>
      <c r="I14" s="1300">
        <v>50423193</v>
      </c>
      <c r="J14" s="1445">
        <f t="shared" si="1"/>
        <v>50423193</v>
      </c>
      <c r="K14" s="1461"/>
      <c r="L14" s="1300"/>
      <c r="M14" s="1300">
        <v>50423193</v>
      </c>
      <c r="N14" s="1462">
        <f t="shared" si="2"/>
        <v>50423193</v>
      </c>
      <c r="O14" s="1461"/>
      <c r="P14" s="1300"/>
      <c r="Q14" s="1300">
        <v>58979458</v>
      </c>
      <c r="R14" s="1462">
        <f t="shared" si="3"/>
        <v>58979458</v>
      </c>
    </row>
    <row r="15" spans="1:18" s="5" customFormat="1" ht="26.25" customHeight="1">
      <c r="A15" s="1237"/>
      <c r="B15" s="1238" t="s">
        <v>845</v>
      </c>
      <c r="C15" s="1300"/>
      <c r="D15" s="1300"/>
      <c r="E15" s="1300">
        <v>3982020</v>
      </c>
      <c r="F15" s="1300">
        <f t="shared" si="0"/>
        <v>3982020</v>
      </c>
      <c r="G15" s="1300"/>
      <c r="H15" s="1300"/>
      <c r="I15" s="1300">
        <v>3982020</v>
      </c>
      <c r="J15" s="1445">
        <f t="shared" si="1"/>
        <v>3982020</v>
      </c>
      <c r="K15" s="1461"/>
      <c r="L15" s="1300"/>
      <c r="M15" s="1300">
        <v>3982020</v>
      </c>
      <c r="N15" s="1462">
        <f t="shared" si="2"/>
        <v>3982020</v>
      </c>
      <c r="O15" s="1461"/>
      <c r="P15" s="1300"/>
      <c r="Q15" s="1300">
        <v>4769156</v>
      </c>
      <c r="R15" s="1462">
        <f t="shared" si="3"/>
        <v>4769156</v>
      </c>
    </row>
    <row r="16" spans="1:18" s="5" customFormat="1" ht="26.25" customHeight="1">
      <c r="A16" s="1237"/>
      <c r="B16" s="1238" t="s">
        <v>846</v>
      </c>
      <c r="C16" s="1300"/>
      <c r="D16" s="1300"/>
      <c r="E16" s="1300">
        <v>2794699</v>
      </c>
      <c r="F16" s="1300">
        <f t="shared" si="0"/>
        <v>2794699</v>
      </c>
      <c r="G16" s="1300"/>
      <c r="H16" s="1300"/>
      <c r="I16" s="1300">
        <v>2794699</v>
      </c>
      <c r="J16" s="1445">
        <f t="shared" si="1"/>
        <v>2794699</v>
      </c>
      <c r="K16" s="1461"/>
      <c r="L16" s="1300"/>
      <c r="M16" s="1300">
        <v>3796753</v>
      </c>
      <c r="N16" s="1462">
        <f t="shared" si="2"/>
        <v>3796753</v>
      </c>
      <c r="O16" s="1461"/>
      <c r="P16" s="1300"/>
      <c r="Q16" s="1300">
        <v>6598590</v>
      </c>
      <c r="R16" s="1462">
        <f t="shared" si="3"/>
        <v>6598590</v>
      </c>
    </row>
    <row r="17" spans="1:18" s="5" customFormat="1" ht="25.5">
      <c r="A17" s="1237"/>
      <c r="B17" s="1238" t="s">
        <v>847</v>
      </c>
      <c r="C17" s="1300"/>
      <c r="D17" s="1300"/>
      <c r="E17" s="1300">
        <v>3704266</v>
      </c>
      <c r="F17" s="1300">
        <f t="shared" si="0"/>
        <v>3704266</v>
      </c>
      <c r="G17" s="1300"/>
      <c r="H17" s="1300"/>
      <c r="I17" s="1300">
        <v>3704266</v>
      </c>
      <c r="J17" s="1445">
        <f t="shared" si="1"/>
        <v>3704266</v>
      </c>
      <c r="K17" s="1461"/>
      <c r="L17" s="1300"/>
      <c r="M17" s="1300">
        <v>5065640</v>
      </c>
      <c r="N17" s="1462">
        <f t="shared" si="2"/>
        <v>5065640</v>
      </c>
      <c r="O17" s="1461"/>
      <c r="P17" s="1300"/>
      <c r="Q17" s="1300">
        <v>5065640</v>
      </c>
      <c r="R17" s="1462">
        <f t="shared" si="3"/>
        <v>5065640</v>
      </c>
    </row>
    <row r="18" spans="1:18" s="5" customFormat="1" ht="26.25" customHeight="1">
      <c r="A18" s="1237"/>
      <c r="B18" s="1297" t="s">
        <v>848</v>
      </c>
      <c r="C18" s="1301">
        <f aca="true" t="shared" si="4" ref="C18:N18">SUM(C12:C17)</f>
        <v>0</v>
      </c>
      <c r="D18" s="1301">
        <f t="shared" si="4"/>
        <v>0</v>
      </c>
      <c r="E18" s="1301">
        <f t="shared" si="4"/>
        <v>189166044</v>
      </c>
      <c r="F18" s="1301">
        <f t="shared" si="4"/>
        <v>189166044</v>
      </c>
      <c r="G18" s="1301">
        <f t="shared" si="4"/>
        <v>0</v>
      </c>
      <c r="H18" s="1301">
        <f t="shared" si="4"/>
        <v>0</v>
      </c>
      <c r="I18" s="1301">
        <f t="shared" si="4"/>
        <v>189166044</v>
      </c>
      <c r="J18" s="1446">
        <f t="shared" si="4"/>
        <v>189166044</v>
      </c>
      <c r="K18" s="1463">
        <f t="shared" si="4"/>
        <v>0</v>
      </c>
      <c r="L18" s="1301">
        <f t="shared" si="4"/>
        <v>0</v>
      </c>
      <c r="M18" s="1301">
        <f t="shared" si="4"/>
        <v>191529472</v>
      </c>
      <c r="N18" s="1464">
        <f t="shared" si="4"/>
        <v>191529472</v>
      </c>
      <c r="O18" s="1463">
        <f>SUM(O12:O17)</f>
        <v>0</v>
      </c>
      <c r="P18" s="1301">
        <f>SUM(P12:P17)</f>
        <v>0</v>
      </c>
      <c r="Q18" s="1301">
        <f>SUM(Q12:Q17)</f>
        <v>207976669</v>
      </c>
      <c r="R18" s="1464">
        <f>SUM(R12:R17)</f>
        <v>207976669</v>
      </c>
    </row>
    <row r="19" spans="1:18" s="1303" customFormat="1" ht="26.25" customHeight="1">
      <c r="A19" s="1302"/>
      <c r="B19" s="1297" t="s">
        <v>849</v>
      </c>
      <c r="C19" s="1301">
        <v>9941807</v>
      </c>
      <c r="D19" s="1301"/>
      <c r="E19" s="1301"/>
      <c r="F19" s="1301">
        <f>SUM(C19:E19)</f>
        <v>9941807</v>
      </c>
      <c r="G19" s="1301">
        <v>9941807</v>
      </c>
      <c r="H19" s="1301"/>
      <c r="I19" s="1301"/>
      <c r="J19" s="1446">
        <f>SUM(G19:I19)</f>
        <v>9941807</v>
      </c>
      <c r="K19" s="1463"/>
      <c r="L19" s="1301">
        <v>45139149</v>
      </c>
      <c r="M19" s="1301"/>
      <c r="N19" s="1464">
        <f>SUM(K19:M19)</f>
        <v>45139149</v>
      </c>
      <c r="O19" s="1463"/>
      <c r="P19" s="1301">
        <f>SUM(P20:P21)</f>
        <v>122585055</v>
      </c>
      <c r="Q19" s="1301"/>
      <c r="R19" s="1464">
        <f>SUM(O19:Q19)</f>
        <v>122585055</v>
      </c>
    </row>
    <row r="20" spans="1:18" s="5" customFormat="1" ht="12.75">
      <c r="A20" s="1237"/>
      <c r="B20" s="1298" t="s">
        <v>850</v>
      </c>
      <c r="C20" s="1300">
        <v>9941807</v>
      </c>
      <c r="D20" s="1300"/>
      <c r="E20" s="1300"/>
      <c r="F20" s="1300">
        <v>9941807</v>
      </c>
      <c r="G20" s="1300">
        <v>9941807</v>
      </c>
      <c r="H20" s="1300"/>
      <c r="I20" s="1300"/>
      <c r="J20" s="1445">
        <v>9941807</v>
      </c>
      <c r="K20" s="1461"/>
      <c r="L20" s="1300">
        <v>45139149</v>
      </c>
      <c r="M20" s="1300"/>
      <c r="N20" s="1462">
        <v>9941807</v>
      </c>
      <c r="O20" s="1461"/>
      <c r="P20" s="1300">
        <v>9857005</v>
      </c>
      <c r="Q20" s="1300"/>
      <c r="R20" s="1462">
        <v>9941807</v>
      </c>
    </row>
    <row r="21" spans="1:18" s="5" customFormat="1" ht="12.75">
      <c r="A21" s="1237"/>
      <c r="B21" s="1298" t="s">
        <v>969</v>
      </c>
      <c r="C21" s="1300"/>
      <c r="D21" s="1300"/>
      <c r="E21" s="1300"/>
      <c r="F21" s="1300"/>
      <c r="G21" s="1300"/>
      <c r="H21" s="1300"/>
      <c r="I21" s="1300"/>
      <c r="J21" s="1445"/>
      <c r="K21" s="1461"/>
      <c r="L21" s="1300"/>
      <c r="M21" s="1300"/>
      <c r="N21" s="1462"/>
      <c r="O21" s="1461"/>
      <c r="P21" s="1300">
        <v>112728050</v>
      </c>
      <c r="Q21" s="1300"/>
      <c r="R21" s="1462">
        <v>112728050</v>
      </c>
    </row>
    <row r="22" spans="1:18" s="5" customFormat="1" ht="31.5">
      <c r="A22" s="1237" t="s">
        <v>167</v>
      </c>
      <c r="B22" s="1255" t="s">
        <v>851</v>
      </c>
      <c r="C22" s="1305">
        <f aca="true" t="shared" si="5" ref="C22:N22">SUM(C18+C19)</f>
        <v>9941807</v>
      </c>
      <c r="D22" s="1305">
        <f t="shared" si="5"/>
        <v>0</v>
      </c>
      <c r="E22" s="1305">
        <f t="shared" si="5"/>
        <v>189166044</v>
      </c>
      <c r="F22" s="1305">
        <f t="shared" si="5"/>
        <v>199107851</v>
      </c>
      <c r="G22" s="1305">
        <f t="shared" si="5"/>
        <v>9941807</v>
      </c>
      <c r="H22" s="1305">
        <f t="shared" si="5"/>
        <v>0</v>
      </c>
      <c r="I22" s="1305">
        <f t="shared" si="5"/>
        <v>189166044</v>
      </c>
      <c r="J22" s="1447">
        <f t="shared" si="5"/>
        <v>199107851</v>
      </c>
      <c r="K22" s="1465">
        <f t="shared" si="5"/>
        <v>0</v>
      </c>
      <c r="L22" s="1305">
        <f t="shared" si="5"/>
        <v>45139149</v>
      </c>
      <c r="M22" s="1305">
        <f t="shared" si="5"/>
        <v>191529472</v>
      </c>
      <c r="N22" s="1466">
        <f t="shared" si="5"/>
        <v>236668621</v>
      </c>
      <c r="O22" s="1465">
        <f>SUM(O18+O19)</f>
        <v>0</v>
      </c>
      <c r="P22" s="1305">
        <f>SUM(P18+P19)</f>
        <v>122585055</v>
      </c>
      <c r="Q22" s="1305">
        <f>SUM(Q18+Q19)</f>
        <v>207976669</v>
      </c>
      <c r="R22" s="1466">
        <f>SUM(R18+R19)</f>
        <v>330561724</v>
      </c>
    </row>
    <row r="23" spans="1:18" s="5" customFormat="1" ht="31.5">
      <c r="A23" s="1237" t="s">
        <v>169</v>
      </c>
      <c r="B23" s="1255" t="s">
        <v>170</v>
      </c>
      <c r="C23" s="1305">
        <v>0</v>
      </c>
      <c r="D23" s="1305">
        <v>0</v>
      </c>
      <c r="E23" s="1305">
        <v>0</v>
      </c>
      <c r="F23" s="1305">
        <v>0</v>
      </c>
      <c r="G23" s="1305">
        <v>0</v>
      </c>
      <c r="H23" s="1305">
        <v>0</v>
      </c>
      <c r="I23" s="1305">
        <v>0</v>
      </c>
      <c r="J23" s="1447">
        <v>0</v>
      </c>
      <c r="K23" s="1465">
        <v>0</v>
      </c>
      <c r="L23" s="1305">
        <v>333740979</v>
      </c>
      <c r="M23" s="1305">
        <v>0</v>
      </c>
      <c r="N23" s="1466">
        <v>333740979</v>
      </c>
      <c r="O23" s="1465">
        <v>0</v>
      </c>
      <c r="P23" s="1305">
        <v>579188024</v>
      </c>
      <c r="Q23" s="1305">
        <v>0</v>
      </c>
      <c r="R23" s="1466">
        <v>579188024</v>
      </c>
    </row>
    <row r="24" spans="1:18" s="5" customFormat="1" ht="12.75">
      <c r="A24" s="1237"/>
      <c r="B24" s="1297" t="s">
        <v>852</v>
      </c>
      <c r="C24" s="1300">
        <v>6755000</v>
      </c>
      <c r="D24" s="1300"/>
      <c r="E24" s="1300"/>
      <c r="F24" s="1300">
        <f>SUM(C24:E24)</f>
        <v>6755000</v>
      </c>
      <c r="G24" s="1300">
        <v>6755000</v>
      </c>
      <c r="H24" s="1300"/>
      <c r="I24" s="1300"/>
      <c r="J24" s="1445">
        <f>SUM(G24:I24)</f>
        <v>6755000</v>
      </c>
      <c r="K24" s="1461">
        <v>6755000</v>
      </c>
      <c r="L24" s="1300"/>
      <c r="M24" s="1300"/>
      <c r="N24" s="1462">
        <f>SUM(K24:M24)</f>
        <v>6755000</v>
      </c>
      <c r="O24" s="1461">
        <v>6985609</v>
      </c>
      <c r="P24" s="1300"/>
      <c r="Q24" s="1300"/>
      <c r="R24" s="1462">
        <f>SUM(O24:Q24)</f>
        <v>6985609</v>
      </c>
    </row>
    <row r="25" spans="1:18" s="5" customFormat="1" ht="12.75">
      <c r="A25" s="1237"/>
      <c r="B25" s="1238" t="s">
        <v>853</v>
      </c>
      <c r="C25" s="1300">
        <v>134000000</v>
      </c>
      <c r="D25" s="1300"/>
      <c r="E25" s="1300"/>
      <c r="F25" s="1300">
        <f>SUM(C25:E25)</f>
        <v>134000000</v>
      </c>
      <c r="G25" s="1300">
        <v>134000000</v>
      </c>
      <c r="H25" s="1300"/>
      <c r="I25" s="1300"/>
      <c r="J25" s="1445">
        <f>SUM(G25:I25)</f>
        <v>134000000</v>
      </c>
      <c r="K25" s="1461">
        <v>134000000</v>
      </c>
      <c r="L25" s="1300"/>
      <c r="M25" s="1300"/>
      <c r="N25" s="1462">
        <f>SUM(K25:M25)</f>
        <v>134000000</v>
      </c>
      <c r="O25" s="1461">
        <v>153700078</v>
      </c>
      <c r="P25" s="1300"/>
      <c r="Q25" s="1300"/>
      <c r="R25" s="1462">
        <f>SUM(O25:Q25)</f>
        <v>153700078</v>
      </c>
    </row>
    <row r="26" spans="1:18" s="5" customFormat="1" ht="12.75">
      <c r="A26" s="1237"/>
      <c r="B26" s="1238" t="s">
        <v>854</v>
      </c>
      <c r="C26" s="1300">
        <v>8935000</v>
      </c>
      <c r="D26" s="1300"/>
      <c r="E26" s="1300"/>
      <c r="F26" s="1300">
        <f>SUM(C26:E26)</f>
        <v>8935000</v>
      </c>
      <c r="G26" s="1300">
        <v>8935000</v>
      </c>
      <c r="H26" s="1300"/>
      <c r="I26" s="1300"/>
      <c r="J26" s="1445">
        <f>SUM(G26:I26)</f>
        <v>8935000</v>
      </c>
      <c r="K26" s="1461">
        <v>9235000</v>
      </c>
      <c r="L26" s="1300"/>
      <c r="M26" s="1300"/>
      <c r="N26" s="1462">
        <v>9235000</v>
      </c>
      <c r="O26" s="1461">
        <v>10051757</v>
      </c>
      <c r="P26" s="1300"/>
      <c r="Q26" s="1300"/>
      <c r="R26" s="1462">
        <v>10051757</v>
      </c>
    </row>
    <row r="27" spans="1:18" s="5" customFormat="1" ht="25.5">
      <c r="A27" s="1237"/>
      <c r="B27" s="1238" t="s">
        <v>855</v>
      </c>
      <c r="C27" s="1300"/>
      <c r="D27" s="1300"/>
      <c r="E27" s="1300"/>
      <c r="F27" s="1300">
        <f>SUM(C27:E27)</f>
        <v>0</v>
      </c>
      <c r="G27" s="1300"/>
      <c r="H27" s="1300"/>
      <c r="I27" s="1300"/>
      <c r="J27" s="1445">
        <f>SUM(G27:I27)</f>
        <v>0</v>
      </c>
      <c r="K27" s="1461"/>
      <c r="L27" s="1300"/>
      <c r="M27" s="1300"/>
      <c r="N27" s="1462">
        <f>SUM(K27:M27)</f>
        <v>0</v>
      </c>
      <c r="O27" s="1461"/>
      <c r="P27" s="1300"/>
      <c r="Q27" s="1300"/>
      <c r="R27" s="1462">
        <f>SUM(O27:Q27)</f>
        <v>0</v>
      </c>
    </row>
    <row r="28" spans="1:18" s="5" customFormat="1" ht="12.75">
      <c r="A28" s="1237"/>
      <c r="B28" s="1297" t="s">
        <v>856</v>
      </c>
      <c r="C28" s="1300">
        <f aca="true" t="shared" si="6" ref="C28:N28">SUM(C25:C27)</f>
        <v>142935000</v>
      </c>
      <c r="D28" s="1300">
        <f t="shared" si="6"/>
        <v>0</v>
      </c>
      <c r="E28" s="1300">
        <f t="shared" si="6"/>
        <v>0</v>
      </c>
      <c r="F28" s="1300">
        <f t="shared" si="6"/>
        <v>142935000</v>
      </c>
      <c r="G28" s="1300">
        <f t="shared" si="6"/>
        <v>142935000</v>
      </c>
      <c r="H28" s="1300">
        <f t="shared" si="6"/>
        <v>0</v>
      </c>
      <c r="I28" s="1300">
        <f t="shared" si="6"/>
        <v>0</v>
      </c>
      <c r="J28" s="1445">
        <f t="shared" si="6"/>
        <v>142935000</v>
      </c>
      <c r="K28" s="1461">
        <f t="shared" si="6"/>
        <v>143235000</v>
      </c>
      <c r="L28" s="1300">
        <f t="shared" si="6"/>
        <v>0</v>
      </c>
      <c r="M28" s="1300">
        <f t="shared" si="6"/>
        <v>0</v>
      </c>
      <c r="N28" s="1462">
        <f t="shared" si="6"/>
        <v>143235000</v>
      </c>
      <c r="O28" s="1461">
        <f>SUM(O25:O27)</f>
        <v>163751835</v>
      </c>
      <c r="P28" s="1300">
        <f>SUM(P25:P27)</f>
        <v>0</v>
      </c>
      <c r="Q28" s="1300">
        <f>SUM(Q25:Q27)</f>
        <v>0</v>
      </c>
      <c r="R28" s="1462">
        <f>SUM(R25:R27)</f>
        <v>163751835</v>
      </c>
    </row>
    <row r="29" spans="1:18" s="5" customFormat="1" ht="12.75">
      <c r="A29" s="1237"/>
      <c r="B29" s="1297" t="s">
        <v>857</v>
      </c>
      <c r="C29" s="1300">
        <v>465000</v>
      </c>
      <c r="D29" s="1300"/>
      <c r="E29" s="1300"/>
      <c r="F29" s="1300">
        <v>465000</v>
      </c>
      <c r="G29" s="1300">
        <v>465000</v>
      </c>
      <c r="H29" s="1300"/>
      <c r="I29" s="1300"/>
      <c r="J29" s="1445">
        <v>465000</v>
      </c>
      <c r="K29" s="1461">
        <v>465000</v>
      </c>
      <c r="L29" s="1300"/>
      <c r="M29" s="1300"/>
      <c r="N29" s="1462">
        <v>465000</v>
      </c>
      <c r="O29" s="1461">
        <v>608170</v>
      </c>
      <c r="P29" s="1300"/>
      <c r="Q29" s="1300"/>
      <c r="R29" s="1462">
        <v>608170</v>
      </c>
    </row>
    <row r="30" spans="1:18" s="5" customFormat="1" ht="15.75">
      <c r="A30" s="1237" t="s">
        <v>169</v>
      </c>
      <c r="B30" s="1255" t="s">
        <v>858</v>
      </c>
      <c r="C30" s="1304">
        <f aca="true" t="shared" si="7" ref="C30:N30">SUM(C24+C28+C29)</f>
        <v>150155000</v>
      </c>
      <c r="D30" s="1304">
        <f t="shared" si="7"/>
        <v>0</v>
      </c>
      <c r="E30" s="1304">
        <f t="shared" si="7"/>
        <v>0</v>
      </c>
      <c r="F30" s="1304">
        <f t="shared" si="7"/>
        <v>150155000</v>
      </c>
      <c r="G30" s="1304">
        <f t="shared" si="7"/>
        <v>150155000</v>
      </c>
      <c r="H30" s="1304">
        <f t="shared" si="7"/>
        <v>0</v>
      </c>
      <c r="I30" s="1304">
        <f t="shared" si="7"/>
        <v>0</v>
      </c>
      <c r="J30" s="1448">
        <f t="shared" si="7"/>
        <v>150155000</v>
      </c>
      <c r="K30" s="1467">
        <f t="shared" si="7"/>
        <v>150455000</v>
      </c>
      <c r="L30" s="1304">
        <f t="shared" si="7"/>
        <v>0</v>
      </c>
      <c r="M30" s="1304">
        <f t="shared" si="7"/>
        <v>0</v>
      </c>
      <c r="N30" s="1468">
        <f t="shared" si="7"/>
        <v>150455000</v>
      </c>
      <c r="O30" s="1467">
        <f>SUM(O24+O28+O29)</f>
        <v>171345614</v>
      </c>
      <c r="P30" s="1304">
        <f>SUM(P24+P28+P29)</f>
        <v>0</v>
      </c>
      <c r="Q30" s="1304">
        <f>SUM(Q24+Q28+Q29)</f>
        <v>0</v>
      </c>
      <c r="R30" s="1468">
        <f>SUM(R24+R28+R29)</f>
        <v>171345614</v>
      </c>
    </row>
    <row r="31" spans="1:18" s="5" customFormat="1" ht="12.75">
      <c r="A31" s="1237"/>
      <c r="B31" s="1238" t="s">
        <v>839</v>
      </c>
      <c r="C31" s="1300"/>
      <c r="D31" s="1300">
        <v>4850000</v>
      </c>
      <c r="E31" s="1300"/>
      <c r="F31" s="1300">
        <f aca="true" t="shared" si="8" ref="F31:F38">SUM(C31:E31)</f>
        <v>4850000</v>
      </c>
      <c r="G31" s="1300"/>
      <c r="H31" s="1300">
        <v>4850000</v>
      </c>
      <c r="I31" s="1300"/>
      <c r="J31" s="1445">
        <f aca="true" t="shared" si="9" ref="J31:J38">SUM(G31:I31)</f>
        <v>4850000</v>
      </c>
      <c r="K31" s="1461"/>
      <c r="L31" s="1300">
        <v>4850000</v>
      </c>
      <c r="M31" s="1300"/>
      <c r="N31" s="1462">
        <f aca="true" t="shared" si="10" ref="N31:N38">SUM(K31:M31)</f>
        <v>4850000</v>
      </c>
      <c r="O31" s="1461"/>
      <c r="P31" s="1300">
        <v>5382544</v>
      </c>
      <c r="Q31" s="1300"/>
      <c r="R31" s="1462">
        <f aca="true" t="shared" si="11" ref="R31:R38">SUM(O31:Q31)</f>
        <v>5382544</v>
      </c>
    </row>
    <row r="32" spans="1:18" s="5" customFormat="1" ht="25.5">
      <c r="A32" s="1237"/>
      <c r="B32" s="1238" t="s">
        <v>859</v>
      </c>
      <c r="C32" s="1300"/>
      <c r="D32" s="1300">
        <v>3000000</v>
      </c>
      <c r="E32" s="1300"/>
      <c r="F32" s="1300">
        <f t="shared" si="8"/>
        <v>3000000</v>
      </c>
      <c r="G32" s="1300"/>
      <c r="H32" s="1300">
        <v>3000000</v>
      </c>
      <c r="I32" s="1300"/>
      <c r="J32" s="1445">
        <f t="shared" si="9"/>
        <v>3000000</v>
      </c>
      <c r="K32" s="1461"/>
      <c r="L32" s="1300">
        <v>3000000</v>
      </c>
      <c r="M32" s="1300"/>
      <c r="N32" s="1462">
        <f t="shared" si="10"/>
        <v>3000000</v>
      </c>
      <c r="O32" s="1461"/>
      <c r="P32" s="1300">
        <v>3652459</v>
      </c>
      <c r="Q32" s="1300"/>
      <c r="R32" s="1462">
        <f t="shared" si="11"/>
        <v>3652459</v>
      </c>
    </row>
    <row r="33" spans="1:18" s="5" customFormat="1" ht="12.75">
      <c r="A33" s="1237"/>
      <c r="B33" s="1238" t="s">
        <v>860</v>
      </c>
      <c r="C33" s="1300"/>
      <c r="D33" s="1300">
        <v>650000</v>
      </c>
      <c r="E33" s="1300"/>
      <c r="F33" s="1300">
        <f t="shared" si="8"/>
        <v>650000</v>
      </c>
      <c r="G33" s="1300"/>
      <c r="H33" s="1300">
        <v>650000</v>
      </c>
      <c r="I33" s="1300"/>
      <c r="J33" s="1445">
        <f t="shared" si="9"/>
        <v>650000</v>
      </c>
      <c r="K33" s="1461"/>
      <c r="L33" s="1300">
        <v>650000</v>
      </c>
      <c r="M33" s="1300"/>
      <c r="N33" s="1462">
        <f t="shared" si="10"/>
        <v>650000</v>
      </c>
      <c r="O33" s="1461"/>
      <c r="P33" s="1300">
        <v>846660</v>
      </c>
      <c r="Q33" s="1300"/>
      <c r="R33" s="1462">
        <f t="shared" si="11"/>
        <v>846660</v>
      </c>
    </row>
    <row r="34" spans="1:18" s="5" customFormat="1" ht="25.5">
      <c r="A34" s="1237"/>
      <c r="B34" s="1238" t="s">
        <v>820</v>
      </c>
      <c r="C34" s="1300"/>
      <c r="D34" s="1300">
        <v>4900585</v>
      </c>
      <c r="E34" s="1300"/>
      <c r="F34" s="1300">
        <f t="shared" si="8"/>
        <v>4900585</v>
      </c>
      <c r="G34" s="1300"/>
      <c r="H34" s="1300">
        <v>4900585</v>
      </c>
      <c r="I34" s="1300"/>
      <c r="J34" s="1445">
        <f t="shared" si="9"/>
        <v>4900585</v>
      </c>
      <c r="K34" s="1461"/>
      <c r="L34" s="1300">
        <v>4735607</v>
      </c>
      <c r="M34" s="1300"/>
      <c r="N34" s="1462">
        <f t="shared" si="10"/>
        <v>4735607</v>
      </c>
      <c r="O34" s="1461"/>
      <c r="P34" s="1300">
        <v>4226887</v>
      </c>
      <c r="Q34" s="1300"/>
      <c r="R34" s="1462">
        <f t="shared" si="11"/>
        <v>4226887</v>
      </c>
    </row>
    <row r="35" spans="1:18" s="5" customFormat="1" ht="26.25" customHeight="1">
      <c r="A35" s="1237"/>
      <c r="B35" s="1238" t="s">
        <v>861</v>
      </c>
      <c r="C35" s="1300"/>
      <c r="D35" s="1300">
        <v>5708000</v>
      </c>
      <c r="E35" s="1300"/>
      <c r="F35" s="1300">
        <f t="shared" si="8"/>
        <v>5708000</v>
      </c>
      <c r="G35" s="1300"/>
      <c r="H35" s="1300">
        <v>5708000</v>
      </c>
      <c r="I35" s="1300"/>
      <c r="J35" s="1445">
        <f t="shared" si="9"/>
        <v>5708000</v>
      </c>
      <c r="K35" s="1461"/>
      <c r="L35" s="1300">
        <v>5708000</v>
      </c>
      <c r="M35" s="1300"/>
      <c r="N35" s="1462">
        <f t="shared" si="10"/>
        <v>5708000</v>
      </c>
      <c r="O35" s="1461"/>
      <c r="P35" s="1300">
        <v>5708000</v>
      </c>
      <c r="Q35" s="1300"/>
      <c r="R35" s="1462">
        <f t="shared" si="11"/>
        <v>5708000</v>
      </c>
    </row>
    <row r="36" spans="1:18" s="5" customFormat="1" ht="26.25" customHeight="1">
      <c r="A36" s="1237"/>
      <c r="B36" s="1238" t="s">
        <v>862</v>
      </c>
      <c r="C36" s="1300"/>
      <c r="D36" s="1300">
        <v>20000</v>
      </c>
      <c r="E36" s="1300"/>
      <c r="F36" s="1300">
        <f t="shared" si="8"/>
        <v>20000</v>
      </c>
      <c r="G36" s="1300"/>
      <c r="H36" s="1300">
        <v>20000</v>
      </c>
      <c r="I36" s="1300"/>
      <c r="J36" s="1445">
        <f t="shared" si="9"/>
        <v>20000</v>
      </c>
      <c r="K36" s="1461"/>
      <c r="L36" s="1300">
        <v>20000</v>
      </c>
      <c r="M36" s="1300"/>
      <c r="N36" s="1462">
        <f t="shared" si="10"/>
        <v>20000</v>
      </c>
      <c r="O36" s="1461"/>
      <c r="P36" s="1300">
        <v>2867</v>
      </c>
      <c r="Q36" s="1300"/>
      <c r="R36" s="1462">
        <f t="shared" si="11"/>
        <v>2867</v>
      </c>
    </row>
    <row r="37" spans="1:18" s="5" customFormat="1" ht="12.75">
      <c r="A37" s="1237"/>
      <c r="B37" s="1443" t="s">
        <v>924</v>
      </c>
      <c r="C37" s="1300"/>
      <c r="D37" s="1300"/>
      <c r="E37" s="1300"/>
      <c r="F37" s="1300"/>
      <c r="G37" s="1300"/>
      <c r="H37" s="1300"/>
      <c r="I37" s="1300"/>
      <c r="J37" s="1445"/>
      <c r="K37" s="1461"/>
      <c r="L37" s="1300">
        <v>61230</v>
      </c>
      <c r="M37" s="1300"/>
      <c r="N37" s="1462">
        <f t="shared" si="10"/>
        <v>61230</v>
      </c>
      <c r="O37" s="1461"/>
      <c r="P37" s="1300">
        <v>61230</v>
      </c>
      <c r="Q37" s="1300"/>
      <c r="R37" s="1462">
        <f t="shared" si="11"/>
        <v>61230</v>
      </c>
    </row>
    <row r="38" spans="1:18" s="5" customFormat="1" ht="12.75">
      <c r="A38" s="1237"/>
      <c r="B38" s="1238" t="s">
        <v>822</v>
      </c>
      <c r="C38" s="1300"/>
      <c r="D38" s="1300">
        <v>2000</v>
      </c>
      <c r="E38" s="1300"/>
      <c r="F38" s="1300">
        <f t="shared" si="8"/>
        <v>2000</v>
      </c>
      <c r="G38" s="1300"/>
      <c r="H38" s="1300">
        <v>2000</v>
      </c>
      <c r="I38" s="1300"/>
      <c r="J38" s="1445">
        <f t="shared" si="9"/>
        <v>2000</v>
      </c>
      <c r="K38" s="1461"/>
      <c r="L38" s="1300">
        <v>2000</v>
      </c>
      <c r="M38" s="1300"/>
      <c r="N38" s="1462">
        <f t="shared" si="10"/>
        <v>2000</v>
      </c>
      <c r="O38" s="1461"/>
      <c r="P38" s="1300">
        <v>9</v>
      </c>
      <c r="Q38" s="1300"/>
      <c r="R38" s="1462">
        <f t="shared" si="11"/>
        <v>9</v>
      </c>
    </row>
    <row r="39" spans="1:18" s="5" customFormat="1" ht="15.75">
      <c r="A39" s="1237" t="s">
        <v>176</v>
      </c>
      <c r="B39" s="1255" t="s">
        <v>817</v>
      </c>
      <c r="C39" s="1304">
        <f aca="true" t="shared" si="12" ref="C39:N39">SUM(C31:C38)</f>
        <v>0</v>
      </c>
      <c r="D39" s="1304">
        <f t="shared" si="12"/>
        <v>19130585</v>
      </c>
      <c r="E39" s="1304">
        <f t="shared" si="12"/>
        <v>0</v>
      </c>
      <c r="F39" s="1304">
        <f t="shared" si="12"/>
        <v>19130585</v>
      </c>
      <c r="G39" s="1304">
        <f t="shared" si="12"/>
        <v>0</v>
      </c>
      <c r="H39" s="1304">
        <f t="shared" si="12"/>
        <v>19130585</v>
      </c>
      <c r="I39" s="1304">
        <f t="shared" si="12"/>
        <v>0</v>
      </c>
      <c r="J39" s="1448">
        <f t="shared" si="12"/>
        <v>19130585</v>
      </c>
      <c r="K39" s="1467">
        <f t="shared" si="12"/>
        <v>0</v>
      </c>
      <c r="L39" s="1304">
        <f t="shared" si="12"/>
        <v>19026837</v>
      </c>
      <c r="M39" s="1304">
        <f t="shared" si="12"/>
        <v>0</v>
      </c>
      <c r="N39" s="1468">
        <f t="shared" si="12"/>
        <v>19026837</v>
      </c>
      <c r="O39" s="1467">
        <f>SUM(O31:O38)</f>
        <v>0</v>
      </c>
      <c r="P39" s="1304">
        <f>SUM(P31:P38)</f>
        <v>19880656</v>
      </c>
      <c r="Q39" s="1304">
        <f>SUM(Q31:Q38)</f>
        <v>0</v>
      </c>
      <c r="R39" s="1468">
        <f>SUM(R31:R38)</f>
        <v>19880656</v>
      </c>
    </row>
    <row r="40" spans="1:18" s="5" customFormat="1" ht="12.75">
      <c r="A40" s="1237"/>
      <c r="B40" s="1238" t="s">
        <v>863</v>
      </c>
      <c r="C40" s="1300"/>
      <c r="D40" s="1300">
        <v>40635330</v>
      </c>
      <c r="E40" s="1300"/>
      <c r="F40" s="1300">
        <f>SUM(C40:E40)</f>
        <v>40635330</v>
      </c>
      <c r="G40" s="1300"/>
      <c r="H40" s="1300">
        <v>40635330</v>
      </c>
      <c r="I40" s="1300"/>
      <c r="J40" s="1445">
        <f>SUM(G40:I40)</f>
        <v>40635330</v>
      </c>
      <c r="K40" s="1461"/>
      <c r="L40" s="1300">
        <v>35979735</v>
      </c>
      <c r="M40" s="1300"/>
      <c r="N40" s="1462">
        <f>SUM(K40:M40)</f>
        <v>35979735</v>
      </c>
      <c r="O40" s="1461"/>
      <c r="P40" s="1300">
        <v>9130870</v>
      </c>
      <c r="Q40" s="1300"/>
      <c r="R40" s="1462">
        <f>SUM(O40:Q40)</f>
        <v>9130870</v>
      </c>
    </row>
    <row r="41" spans="1:18" s="5" customFormat="1" ht="12.75">
      <c r="A41" s="1237"/>
      <c r="B41" s="1238" t="s">
        <v>864</v>
      </c>
      <c r="C41" s="1300"/>
      <c r="D41" s="1300">
        <v>4500</v>
      </c>
      <c r="E41" s="1300"/>
      <c r="F41" s="1300">
        <f>SUM(C41:E41)</f>
        <v>4500</v>
      </c>
      <c r="G41" s="1300"/>
      <c r="H41" s="1300">
        <v>4500</v>
      </c>
      <c r="I41" s="1300"/>
      <c r="J41" s="1445">
        <f>SUM(G41:I41)</f>
        <v>4500</v>
      </c>
      <c r="K41" s="1461"/>
      <c r="L41" s="1300">
        <v>5500</v>
      </c>
      <c r="M41" s="1300"/>
      <c r="N41" s="1462">
        <f>SUM(K41:M41)</f>
        <v>5500</v>
      </c>
      <c r="O41" s="1461"/>
      <c r="P41" s="1300">
        <v>5500</v>
      </c>
      <c r="Q41" s="1300"/>
      <c r="R41" s="1462">
        <f>SUM(O41:Q41)</f>
        <v>5500</v>
      </c>
    </row>
    <row r="42" spans="1:18" s="5" customFormat="1" ht="15.75">
      <c r="A42" s="1237" t="s">
        <v>186</v>
      </c>
      <c r="B42" s="1255" t="s">
        <v>865</v>
      </c>
      <c r="C42" s="1304">
        <f aca="true" t="shared" si="13" ref="C42:N42">SUM(C40:C41)</f>
        <v>0</v>
      </c>
      <c r="D42" s="1304">
        <f t="shared" si="13"/>
        <v>40639830</v>
      </c>
      <c r="E42" s="1304">
        <f t="shared" si="13"/>
        <v>0</v>
      </c>
      <c r="F42" s="1304">
        <f t="shared" si="13"/>
        <v>40639830</v>
      </c>
      <c r="G42" s="1304">
        <f t="shared" si="13"/>
        <v>0</v>
      </c>
      <c r="H42" s="1304">
        <f t="shared" si="13"/>
        <v>40639830</v>
      </c>
      <c r="I42" s="1304">
        <f t="shared" si="13"/>
        <v>0</v>
      </c>
      <c r="J42" s="1448">
        <f t="shared" si="13"/>
        <v>40639830</v>
      </c>
      <c r="K42" s="1467">
        <f t="shared" si="13"/>
        <v>0</v>
      </c>
      <c r="L42" s="1304">
        <f t="shared" si="13"/>
        <v>35985235</v>
      </c>
      <c r="M42" s="1304">
        <f t="shared" si="13"/>
        <v>0</v>
      </c>
      <c r="N42" s="1468">
        <f t="shared" si="13"/>
        <v>35985235</v>
      </c>
      <c r="O42" s="1467">
        <f>SUM(O40:O41)</f>
        <v>0</v>
      </c>
      <c r="P42" s="1304">
        <f>SUM(P40:P41)</f>
        <v>9136370</v>
      </c>
      <c r="Q42" s="1304">
        <f>SUM(Q40:Q41)</f>
        <v>0</v>
      </c>
      <c r="R42" s="1468">
        <f>SUM(R40:R41)</f>
        <v>9136370</v>
      </c>
    </row>
    <row r="43" spans="1:18" s="5" customFormat="1" ht="26.25" customHeight="1">
      <c r="A43" s="1237"/>
      <c r="B43" s="1238" t="s">
        <v>866</v>
      </c>
      <c r="C43" s="1300"/>
      <c r="D43" s="1300">
        <v>200000</v>
      </c>
      <c r="E43" s="1300"/>
      <c r="F43" s="1300">
        <f>SUM(C43:E43)</f>
        <v>200000</v>
      </c>
      <c r="G43" s="1300"/>
      <c r="H43" s="1300">
        <v>200000</v>
      </c>
      <c r="I43" s="1300"/>
      <c r="J43" s="1445">
        <f>SUM(G43:I43)</f>
        <v>200000</v>
      </c>
      <c r="K43" s="1461"/>
      <c r="L43" s="1300">
        <v>200000</v>
      </c>
      <c r="M43" s="1300"/>
      <c r="N43" s="1462">
        <f>SUM(K43:M43)</f>
        <v>200000</v>
      </c>
      <c r="O43" s="1461"/>
      <c r="P43" s="1300">
        <v>215603</v>
      </c>
      <c r="Q43" s="1300"/>
      <c r="R43" s="1462">
        <f>SUM(O43:Q43)</f>
        <v>215603</v>
      </c>
    </row>
    <row r="44" spans="1:18" s="5" customFormat="1" ht="12.75">
      <c r="A44" s="1237"/>
      <c r="B44" s="1298" t="s">
        <v>867</v>
      </c>
      <c r="C44" s="1300"/>
      <c r="D44" s="1300">
        <v>200000</v>
      </c>
      <c r="E44" s="1300"/>
      <c r="F44" s="1300">
        <f>SUM(C44:E44)</f>
        <v>200000</v>
      </c>
      <c r="G44" s="1300"/>
      <c r="H44" s="1300">
        <v>200000</v>
      </c>
      <c r="I44" s="1300"/>
      <c r="J44" s="1445">
        <f>SUM(G44:I44)</f>
        <v>200000</v>
      </c>
      <c r="K44" s="1461"/>
      <c r="L44" s="1300">
        <v>200000</v>
      </c>
      <c r="M44" s="1300"/>
      <c r="N44" s="1462">
        <f>SUM(K44:M44)</f>
        <v>200000</v>
      </c>
      <c r="O44" s="1461"/>
      <c r="P44" s="1300">
        <v>215603</v>
      </c>
      <c r="Q44" s="1300"/>
      <c r="R44" s="1462">
        <f>SUM(O44:Q44)</f>
        <v>215603</v>
      </c>
    </row>
    <row r="45" spans="1:18" s="5" customFormat="1" ht="26.25" customHeight="1">
      <c r="A45" s="1237"/>
      <c r="B45" s="1238" t="s">
        <v>868</v>
      </c>
      <c r="C45" s="1300"/>
      <c r="D45" s="1300">
        <v>485800</v>
      </c>
      <c r="E45" s="1300"/>
      <c r="F45" s="1300">
        <f>SUM(C45:E45)</f>
        <v>485800</v>
      </c>
      <c r="G45" s="1300"/>
      <c r="H45" s="1300">
        <v>485800</v>
      </c>
      <c r="I45" s="1300"/>
      <c r="J45" s="1445">
        <f>SUM(G45:I45)</f>
        <v>485800</v>
      </c>
      <c r="K45" s="1461"/>
      <c r="L45" s="1300">
        <v>485800</v>
      </c>
      <c r="M45" s="1300"/>
      <c r="N45" s="1462">
        <v>848138</v>
      </c>
      <c r="O45" s="1461"/>
      <c r="P45" s="1300">
        <v>1105138</v>
      </c>
      <c r="Q45" s="1300"/>
      <c r="R45" s="1462">
        <v>1105138</v>
      </c>
    </row>
    <row r="46" spans="1:18" s="5" customFormat="1" ht="12.75">
      <c r="A46" s="1237"/>
      <c r="B46" s="1298" t="s">
        <v>869</v>
      </c>
      <c r="C46" s="1300"/>
      <c r="D46" s="1300">
        <v>485800</v>
      </c>
      <c r="E46" s="1300"/>
      <c r="F46" s="1300">
        <f>SUM(C46:E46)</f>
        <v>485800</v>
      </c>
      <c r="G46" s="1300"/>
      <c r="H46" s="1300">
        <v>485800</v>
      </c>
      <c r="I46" s="1300"/>
      <c r="J46" s="1445">
        <f>SUM(G46:I46)</f>
        <v>485800</v>
      </c>
      <c r="K46" s="1461"/>
      <c r="L46" s="1300">
        <v>485800</v>
      </c>
      <c r="M46" s="1300"/>
      <c r="N46" s="1462">
        <v>848138</v>
      </c>
      <c r="O46" s="1461"/>
      <c r="P46" s="1300">
        <v>1105138</v>
      </c>
      <c r="Q46" s="1300"/>
      <c r="R46" s="1462">
        <v>1105138</v>
      </c>
    </row>
    <row r="47" spans="1:18" s="5" customFormat="1" ht="31.5">
      <c r="A47" s="1237" t="s">
        <v>187</v>
      </c>
      <c r="B47" s="1255" t="s">
        <v>870</v>
      </c>
      <c r="C47" s="1304">
        <f aca="true" t="shared" si="14" ref="C47:N47">SUM(C43+C45)</f>
        <v>0</v>
      </c>
      <c r="D47" s="1304">
        <f t="shared" si="14"/>
        <v>685800</v>
      </c>
      <c r="E47" s="1304">
        <f t="shared" si="14"/>
        <v>0</v>
      </c>
      <c r="F47" s="1304">
        <f t="shared" si="14"/>
        <v>685800</v>
      </c>
      <c r="G47" s="1304">
        <f t="shared" si="14"/>
        <v>0</v>
      </c>
      <c r="H47" s="1304">
        <f t="shared" si="14"/>
        <v>685800</v>
      </c>
      <c r="I47" s="1304">
        <f t="shared" si="14"/>
        <v>0</v>
      </c>
      <c r="J47" s="1448">
        <f t="shared" si="14"/>
        <v>685800</v>
      </c>
      <c r="K47" s="1467">
        <f t="shared" si="14"/>
        <v>0</v>
      </c>
      <c r="L47" s="1304">
        <f t="shared" si="14"/>
        <v>685800</v>
      </c>
      <c r="M47" s="1304">
        <f t="shared" si="14"/>
        <v>0</v>
      </c>
      <c r="N47" s="1468">
        <f t="shared" si="14"/>
        <v>1048138</v>
      </c>
      <c r="O47" s="1467">
        <f>SUM(O43+O45)</f>
        <v>0</v>
      </c>
      <c r="P47" s="1304">
        <f>SUM(P43+P45)</f>
        <v>1320741</v>
      </c>
      <c r="Q47" s="1304">
        <f>SUM(Q43+Q45)</f>
        <v>0</v>
      </c>
      <c r="R47" s="1468">
        <f>SUM(R43+R45)</f>
        <v>1320741</v>
      </c>
    </row>
    <row r="48" spans="1:18" s="5" customFormat="1" ht="26.25" customHeight="1">
      <c r="A48" s="1237"/>
      <c r="B48" s="1238" t="s">
        <v>871</v>
      </c>
      <c r="C48" s="1237"/>
      <c r="D48" s="1237"/>
      <c r="E48" s="1237"/>
      <c r="F48" s="1237"/>
      <c r="G48" s="1237"/>
      <c r="H48" s="1237"/>
      <c r="I48" s="1237"/>
      <c r="J48" s="1449"/>
      <c r="K48" s="1469"/>
      <c r="L48" s="1237"/>
      <c r="M48" s="1237"/>
      <c r="N48" s="1470"/>
      <c r="O48" s="1469"/>
      <c r="P48" s="1237"/>
      <c r="Q48" s="1237"/>
      <c r="R48" s="1470"/>
    </row>
    <row r="49" spans="1:18" s="5" customFormat="1" ht="32.25" thickBot="1">
      <c r="A49" s="1237" t="s">
        <v>188</v>
      </c>
      <c r="B49" s="1255" t="s">
        <v>872</v>
      </c>
      <c r="C49" s="1237"/>
      <c r="D49" s="1237"/>
      <c r="E49" s="1237"/>
      <c r="F49" s="1237"/>
      <c r="G49" s="1237"/>
      <c r="H49" s="1237"/>
      <c r="I49" s="1237"/>
      <c r="J49" s="1449"/>
      <c r="K49" s="1469"/>
      <c r="L49" s="1237"/>
      <c r="M49" s="1237"/>
      <c r="N49" s="1470"/>
      <c r="O49" s="1469"/>
      <c r="P49" s="1237"/>
      <c r="Q49" s="1237"/>
      <c r="R49" s="1470"/>
    </row>
    <row r="50" spans="1:18" s="879" customFormat="1" ht="16.5" thickBot="1">
      <c r="A50" s="2006" t="s">
        <v>532</v>
      </c>
      <c r="B50" s="2007"/>
      <c r="C50" s="1269">
        <f aca="true" t="shared" si="15" ref="C50:K50">SUM(C22+C30+C39+C42+C47+C49)</f>
        <v>160096807</v>
      </c>
      <c r="D50" s="1269">
        <f t="shared" si="15"/>
        <v>60456215</v>
      </c>
      <c r="E50" s="1269">
        <f t="shared" si="15"/>
        <v>189166044</v>
      </c>
      <c r="F50" s="1269">
        <f t="shared" si="15"/>
        <v>409719066</v>
      </c>
      <c r="G50" s="1269">
        <f t="shared" si="15"/>
        <v>160096807</v>
      </c>
      <c r="H50" s="1269">
        <f t="shared" si="15"/>
        <v>60456215</v>
      </c>
      <c r="I50" s="1269">
        <f t="shared" si="15"/>
        <v>189166044</v>
      </c>
      <c r="J50" s="1450">
        <f t="shared" si="15"/>
        <v>409719066</v>
      </c>
      <c r="K50" s="1471">
        <f t="shared" si="15"/>
        <v>150455000</v>
      </c>
      <c r="L50" s="1269">
        <f>SUM(L22+L30+L39+L42+L47+L49)+L23</f>
        <v>434578000</v>
      </c>
      <c r="M50" s="1269">
        <f>SUM(M22+M30+M39+M42+M47+M49)+M23</f>
        <v>191529472</v>
      </c>
      <c r="N50" s="1270">
        <f>SUM(N22+N30+N39+N42+N47+N49)+N23</f>
        <v>776924810</v>
      </c>
      <c r="O50" s="1471">
        <f>SUM(O22+O30+O39+O42+O47+O49)</f>
        <v>171345614</v>
      </c>
      <c r="P50" s="1269">
        <f>SUM(P22+P30+P39+P42+P47+P49)+P23</f>
        <v>732110846</v>
      </c>
      <c r="Q50" s="1269">
        <f>SUM(Q22+Q30+Q39+Q42+Q47+Q49)+Q23</f>
        <v>207976669</v>
      </c>
      <c r="R50" s="1270">
        <f>SUM(R22+R30+R39+R42+R47+R49)+R23</f>
        <v>1111433129</v>
      </c>
    </row>
    <row r="51" spans="1:18" ht="25.5">
      <c r="A51" s="1250"/>
      <c r="B51" s="1238" t="s">
        <v>824</v>
      </c>
      <c r="C51" s="1271">
        <v>46294271</v>
      </c>
      <c r="D51" s="1271"/>
      <c r="E51" s="1271"/>
      <c r="F51" s="1271">
        <v>46294271</v>
      </c>
      <c r="G51" s="1271">
        <v>46294271</v>
      </c>
      <c r="H51" s="1271"/>
      <c r="I51" s="1271"/>
      <c r="J51" s="1451">
        <v>46294271</v>
      </c>
      <c r="K51" s="1472">
        <v>46294271</v>
      </c>
      <c r="L51" s="1271"/>
      <c r="M51" s="1271"/>
      <c r="N51" s="1473">
        <v>46294271</v>
      </c>
      <c r="O51" s="1472"/>
      <c r="P51" s="1271"/>
      <c r="Q51" s="1271">
        <v>46294271</v>
      </c>
      <c r="R51" s="1473">
        <v>46294271</v>
      </c>
    </row>
    <row r="52" spans="1:18" ht="12.75">
      <c r="A52" s="644"/>
      <c r="B52" s="1239" t="s">
        <v>825</v>
      </c>
      <c r="C52" s="1272">
        <v>46294271</v>
      </c>
      <c r="D52" s="1272"/>
      <c r="E52" s="1272"/>
      <c r="F52" s="1272">
        <v>46294271</v>
      </c>
      <c r="G52" s="1272">
        <v>46294271</v>
      </c>
      <c r="H52" s="1272"/>
      <c r="I52" s="1272"/>
      <c r="J52" s="1452">
        <v>46294271</v>
      </c>
      <c r="K52" s="1474">
        <v>46294271</v>
      </c>
      <c r="L52" s="1272"/>
      <c r="M52" s="1272"/>
      <c r="N52" s="1475">
        <v>46294271</v>
      </c>
      <c r="O52" s="1474"/>
      <c r="P52" s="1272"/>
      <c r="Q52" s="1272">
        <v>46294271</v>
      </c>
      <c r="R52" s="1475">
        <v>46294271</v>
      </c>
    </row>
    <row r="53" spans="1:18" ht="13.5" thickBot="1">
      <c r="A53" s="1252"/>
      <c r="B53" s="1306" t="s">
        <v>873</v>
      </c>
      <c r="C53" s="1273"/>
      <c r="D53" s="1273"/>
      <c r="E53" s="1273">
        <v>8502671</v>
      </c>
      <c r="F53" s="1273">
        <v>8502671</v>
      </c>
      <c r="G53" s="1273"/>
      <c r="H53" s="1273"/>
      <c r="I53" s="1273">
        <v>8502671</v>
      </c>
      <c r="J53" s="1453">
        <v>8502671</v>
      </c>
      <c r="K53" s="1476"/>
      <c r="L53" s="1273"/>
      <c r="M53" s="1273">
        <v>9473678</v>
      </c>
      <c r="N53" s="1477">
        <v>9473678</v>
      </c>
      <c r="O53" s="1476"/>
      <c r="P53" s="1273"/>
      <c r="Q53" s="1273">
        <v>10623632</v>
      </c>
      <c r="R53" s="1477">
        <v>10623632</v>
      </c>
    </row>
    <row r="54" spans="1:18" ht="16.5" thickBot="1">
      <c r="A54" s="1256"/>
      <c r="B54" s="1257" t="s">
        <v>827</v>
      </c>
      <c r="C54" s="1274">
        <f aca="true" t="shared" si="16" ref="C54:N54">SUM(C52:C53)</f>
        <v>46294271</v>
      </c>
      <c r="D54" s="1274">
        <f t="shared" si="16"/>
        <v>0</v>
      </c>
      <c r="E54" s="1274">
        <f t="shared" si="16"/>
        <v>8502671</v>
      </c>
      <c r="F54" s="1274">
        <f t="shared" si="16"/>
        <v>54796942</v>
      </c>
      <c r="G54" s="1274">
        <f t="shared" si="16"/>
        <v>46294271</v>
      </c>
      <c r="H54" s="1274">
        <f t="shared" si="16"/>
        <v>0</v>
      </c>
      <c r="I54" s="1274">
        <f t="shared" si="16"/>
        <v>8502671</v>
      </c>
      <c r="J54" s="1454">
        <f t="shared" si="16"/>
        <v>54796942</v>
      </c>
      <c r="K54" s="1478">
        <f t="shared" si="16"/>
        <v>46294271</v>
      </c>
      <c r="L54" s="1274">
        <f t="shared" si="16"/>
        <v>0</v>
      </c>
      <c r="M54" s="1274">
        <f t="shared" si="16"/>
        <v>9473678</v>
      </c>
      <c r="N54" s="1479">
        <f t="shared" si="16"/>
        <v>55767949</v>
      </c>
      <c r="O54" s="1478">
        <f>SUM(O52:O53)</f>
        <v>0</v>
      </c>
      <c r="P54" s="1274">
        <f>SUM(P52:P53)</f>
        <v>0</v>
      </c>
      <c r="Q54" s="1274">
        <f>SUM(Q52:Q53)</f>
        <v>56917903</v>
      </c>
      <c r="R54" s="1479">
        <f>SUM(R52:R53)</f>
        <v>56917903</v>
      </c>
    </row>
    <row r="55" spans="1:18" ht="16.5" thickBot="1">
      <c r="A55" s="1996" t="s">
        <v>157</v>
      </c>
      <c r="B55" s="1997"/>
      <c r="C55" s="1275">
        <f aca="true" t="shared" si="17" ref="C55:N55">SUM(C50+C54)</f>
        <v>206391078</v>
      </c>
      <c r="D55" s="1275">
        <f t="shared" si="17"/>
        <v>60456215</v>
      </c>
      <c r="E55" s="1275">
        <f t="shared" si="17"/>
        <v>197668715</v>
      </c>
      <c r="F55" s="1276">
        <f t="shared" si="17"/>
        <v>464516008</v>
      </c>
      <c r="G55" s="1275">
        <f t="shared" si="17"/>
        <v>206391078</v>
      </c>
      <c r="H55" s="1275">
        <f t="shared" si="17"/>
        <v>60456215</v>
      </c>
      <c r="I55" s="1275">
        <f t="shared" si="17"/>
        <v>197668715</v>
      </c>
      <c r="J55" s="1455">
        <f t="shared" si="17"/>
        <v>464516008</v>
      </c>
      <c r="K55" s="1480">
        <f t="shared" si="17"/>
        <v>196749271</v>
      </c>
      <c r="L55" s="1275">
        <f t="shared" si="17"/>
        <v>434578000</v>
      </c>
      <c r="M55" s="1275">
        <f t="shared" si="17"/>
        <v>201003150</v>
      </c>
      <c r="N55" s="1276">
        <f t="shared" si="17"/>
        <v>832692759</v>
      </c>
      <c r="O55" s="1480">
        <f>SUM(O50+O54)</f>
        <v>171345614</v>
      </c>
      <c r="P55" s="1275">
        <f>SUM(P50+P54)</f>
        <v>732110846</v>
      </c>
      <c r="Q55" s="1275">
        <f>SUM(Q50+Q54)</f>
        <v>264894572</v>
      </c>
      <c r="R55" s="1276">
        <f>SUM(R50+R54)</f>
        <v>1168351032</v>
      </c>
    </row>
    <row r="56" spans="1:18" ht="12.75">
      <c r="A56" s="1293" t="s">
        <v>167</v>
      </c>
      <c r="B56" s="1239" t="s">
        <v>829</v>
      </c>
      <c r="C56" s="1247">
        <v>5197000</v>
      </c>
      <c r="D56" s="1247"/>
      <c r="E56" s="1246">
        <f>SUM(16667922)</f>
        <v>16667922</v>
      </c>
      <c r="F56" s="1247">
        <f>SUM(C56:E56)</f>
        <v>21864922</v>
      </c>
      <c r="G56" s="1247">
        <v>5197000</v>
      </c>
      <c r="H56" s="1247"/>
      <c r="I56" s="1246">
        <f>SUM(16667922)</f>
        <v>16667922</v>
      </c>
      <c r="J56" s="1456">
        <f>SUM(G56:I56)</f>
        <v>21864922</v>
      </c>
      <c r="K56" s="1481">
        <v>5197000</v>
      </c>
      <c r="L56" s="1247"/>
      <c r="M56" s="1246">
        <v>18475001</v>
      </c>
      <c r="N56" s="1482">
        <f>SUM(K56:M56)</f>
        <v>23672001</v>
      </c>
      <c r="O56" s="1481">
        <v>26918127</v>
      </c>
      <c r="P56" s="1247"/>
      <c r="Q56" s="1246"/>
      <c r="R56" s="1482">
        <f aca="true" t="shared" si="18" ref="R56:R61">SUM(O56:Q56)</f>
        <v>26918127</v>
      </c>
    </row>
    <row r="57" spans="1:18" ht="25.5">
      <c r="A57" s="1294" t="s">
        <v>169</v>
      </c>
      <c r="B57" s="1239" t="s">
        <v>830</v>
      </c>
      <c r="C57" s="1243">
        <v>1168000</v>
      </c>
      <c r="D57" s="1243"/>
      <c r="E57" s="1242">
        <f>SUM(3669143)</f>
        <v>3669143</v>
      </c>
      <c r="F57" s="1247">
        <f>SUM(C57:E57)</f>
        <v>4837143</v>
      </c>
      <c r="G57" s="1243">
        <v>1168000</v>
      </c>
      <c r="H57" s="1243"/>
      <c r="I57" s="1242">
        <f>SUM(3669143)</f>
        <v>3669143</v>
      </c>
      <c r="J57" s="1456">
        <f>SUM(G57:I57)</f>
        <v>4837143</v>
      </c>
      <c r="K57" s="1483">
        <v>1168000</v>
      </c>
      <c r="L57" s="1243"/>
      <c r="M57" s="1242">
        <v>4066700</v>
      </c>
      <c r="N57" s="1482">
        <f>SUM(K57:M57)</f>
        <v>5234700</v>
      </c>
      <c r="O57" s="1483">
        <v>5515431</v>
      </c>
      <c r="P57" s="1243"/>
      <c r="Q57" s="1242"/>
      <c r="R57" s="1482">
        <f t="shared" si="18"/>
        <v>5515431</v>
      </c>
    </row>
    <row r="58" spans="1:18" s="12" customFormat="1" ht="12.75">
      <c r="A58" s="1294" t="s">
        <v>176</v>
      </c>
      <c r="B58" s="1037" t="s">
        <v>831</v>
      </c>
      <c r="C58" s="1243">
        <v>9524000</v>
      </c>
      <c r="D58" s="1243"/>
      <c r="E58" s="1243">
        <f>SUM(31676180)</f>
        <v>31676180</v>
      </c>
      <c r="F58" s="1247">
        <f>SUM(C58:E58)</f>
        <v>41200180</v>
      </c>
      <c r="G58" s="1243">
        <v>9524000</v>
      </c>
      <c r="H58" s="1243"/>
      <c r="I58" s="1243">
        <f>SUM(31676180)</f>
        <v>31676180</v>
      </c>
      <c r="J58" s="1456">
        <f>SUM(G58:I58)</f>
        <v>41200180</v>
      </c>
      <c r="K58" s="1483">
        <v>9524000</v>
      </c>
      <c r="L58" s="1243">
        <v>28414522</v>
      </c>
      <c r="M58" s="1243">
        <f>SUM(31676180)</f>
        <v>31676180</v>
      </c>
      <c r="N58" s="1482">
        <f>SUM(K58:M58)</f>
        <v>69614702</v>
      </c>
      <c r="O58" s="1483">
        <v>64164195</v>
      </c>
      <c r="P58" s="1243"/>
      <c r="Q58" s="1243"/>
      <c r="R58" s="1482">
        <f t="shared" si="18"/>
        <v>64164195</v>
      </c>
    </row>
    <row r="59" spans="1:18" s="12" customFormat="1" ht="12.75">
      <c r="A59" s="1294" t="s">
        <v>186</v>
      </c>
      <c r="B59" s="1037" t="s">
        <v>875</v>
      </c>
      <c r="C59" s="1243">
        <v>3200000</v>
      </c>
      <c r="D59" s="1243"/>
      <c r="E59" s="1243"/>
      <c r="F59" s="1247">
        <f aca="true" t="shared" si="19" ref="F59:F66">SUM(C59:E59)</f>
        <v>3200000</v>
      </c>
      <c r="G59" s="1243">
        <v>3200000</v>
      </c>
      <c r="H59" s="1243"/>
      <c r="I59" s="1243"/>
      <c r="J59" s="1456">
        <f aca="true" t="shared" si="20" ref="J59:J66">SUM(G59:I59)</f>
        <v>3200000</v>
      </c>
      <c r="K59" s="1483">
        <v>3071000</v>
      </c>
      <c r="L59" s="1243"/>
      <c r="M59" s="1243"/>
      <c r="N59" s="1482">
        <f aca="true" t="shared" si="21" ref="N59:N66">SUM(K59:M59)</f>
        <v>3071000</v>
      </c>
      <c r="O59" s="1483">
        <v>4659500</v>
      </c>
      <c r="P59" s="1243"/>
      <c r="Q59" s="1243"/>
      <c r="R59" s="1482">
        <f t="shared" si="18"/>
        <v>4659500</v>
      </c>
    </row>
    <row r="60" spans="1:18" s="12" customFormat="1" ht="12.75">
      <c r="A60" s="1294" t="s">
        <v>187</v>
      </c>
      <c r="B60" s="1037" t="s">
        <v>222</v>
      </c>
      <c r="C60" s="1243"/>
      <c r="D60" s="1243"/>
      <c r="E60" s="1243">
        <v>47279029</v>
      </c>
      <c r="F60" s="1247">
        <f t="shared" si="19"/>
        <v>47279029</v>
      </c>
      <c r="G60" s="1243"/>
      <c r="H60" s="1243"/>
      <c r="I60" s="1243">
        <v>47279029</v>
      </c>
      <c r="J60" s="1456">
        <f t="shared" si="20"/>
        <v>47279029</v>
      </c>
      <c r="K60" s="1483"/>
      <c r="L60" s="1243"/>
      <c r="M60" s="1243">
        <v>47279029</v>
      </c>
      <c r="N60" s="1482">
        <f t="shared" si="21"/>
        <v>47279029</v>
      </c>
      <c r="O60" s="1483">
        <v>20408509</v>
      </c>
      <c r="P60" s="1243">
        <v>694852578</v>
      </c>
      <c r="Q60" s="1243"/>
      <c r="R60" s="1482">
        <f t="shared" si="18"/>
        <v>715261087</v>
      </c>
    </row>
    <row r="61" spans="1:18" s="12" customFormat="1" ht="12.75">
      <c r="A61" s="1294" t="s">
        <v>188</v>
      </c>
      <c r="B61" s="1037" t="s">
        <v>876</v>
      </c>
      <c r="C61" s="1243">
        <v>33989291</v>
      </c>
      <c r="D61" s="1243"/>
      <c r="E61" s="1243">
        <v>0</v>
      </c>
      <c r="F61" s="1247">
        <f t="shared" si="19"/>
        <v>33989291</v>
      </c>
      <c r="G61" s="1243">
        <v>33989291</v>
      </c>
      <c r="H61" s="1243"/>
      <c r="I61" s="1243">
        <v>0</v>
      </c>
      <c r="J61" s="1456">
        <f t="shared" si="20"/>
        <v>33989291</v>
      </c>
      <c r="K61" s="1483">
        <v>35227336</v>
      </c>
      <c r="L61" s="1243"/>
      <c r="M61" s="1243">
        <v>0</v>
      </c>
      <c r="N61" s="1482">
        <f t="shared" si="21"/>
        <v>35227336</v>
      </c>
      <c r="O61" s="1483">
        <v>33983308</v>
      </c>
      <c r="P61" s="1243"/>
      <c r="Q61" s="1243">
        <v>0</v>
      </c>
      <c r="R61" s="1482">
        <f t="shared" si="18"/>
        <v>33983308</v>
      </c>
    </row>
    <row r="62" spans="1:18" s="12" customFormat="1" ht="12.75">
      <c r="A62" s="1294"/>
      <c r="B62" s="1037" t="s">
        <v>970</v>
      </c>
      <c r="C62" s="1243"/>
      <c r="D62" s="1243"/>
      <c r="E62" s="1243"/>
      <c r="F62" s="1247"/>
      <c r="G62" s="1243"/>
      <c r="H62" s="1243"/>
      <c r="I62" s="1243"/>
      <c r="J62" s="1456"/>
      <c r="K62" s="1483"/>
      <c r="L62" s="1243"/>
      <c r="M62" s="1243"/>
      <c r="N62" s="1482"/>
      <c r="O62" s="1483">
        <v>53488</v>
      </c>
      <c r="P62" s="1243"/>
      <c r="Q62" s="1243"/>
      <c r="R62" s="1482">
        <v>53488</v>
      </c>
    </row>
    <row r="63" spans="1:18" s="12" customFormat="1" ht="12.75">
      <c r="A63" s="1294" t="s">
        <v>190</v>
      </c>
      <c r="B63" s="1037" t="s">
        <v>874</v>
      </c>
      <c r="C63" s="1288"/>
      <c r="D63" s="1288"/>
      <c r="E63" s="1288">
        <f>SUM(E64:E65)</f>
        <v>25930687</v>
      </c>
      <c r="F63" s="1247">
        <f t="shared" si="19"/>
        <v>25930687</v>
      </c>
      <c r="G63" s="1288"/>
      <c r="H63" s="1288"/>
      <c r="I63" s="1288">
        <f>SUM(I64:I65)</f>
        <v>25930687</v>
      </c>
      <c r="J63" s="1456">
        <f t="shared" si="20"/>
        <v>25930687</v>
      </c>
      <c r="K63" s="1484"/>
      <c r="L63" s="1288">
        <f>SUM(L64:L65)</f>
        <v>361071666</v>
      </c>
      <c r="M63" s="1037"/>
      <c r="N63" s="1482">
        <f>SUM(K63:L63)</f>
        <v>361071666</v>
      </c>
      <c r="O63" s="1484"/>
      <c r="P63" s="1288">
        <f>SUM(P64:P65)</f>
        <v>37258268</v>
      </c>
      <c r="Q63" s="1037"/>
      <c r="R63" s="1482">
        <f>SUM(O63:P63)</f>
        <v>37258268</v>
      </c>
    </row>
    <row r="64" spans="1:18" s="148" customFormat="1" ht="12.75">
      <c r="A64" s="1240"/>
      <c r="B64" s="1240" t="s">
        <v>132</v>
      </c>
      <c r="C64" s="1258"/>
      <c r="D64" s="1240"/>
      <c r="E64" s="1240">
        <v>19242174</v>
      </c>
      <c r="F64" s="1247">
        <f t="shared" si="19"/>
        <v>19242174</v>
      </c>
      <c r="G64" s="1258"/>
      <c r="H64" s="1240"/>
      <c r="I64" s="1240">
        <v>19242174</v>
      </c>
      <c r="J64" s="1456">
        <f t="shared" si="20"/>
        <v>19242174</v>
      </c>
      <c r="K64" s="1485"/>
      <c r="L64" s="1240">
        <v>337876803</v>
      </c>
      <c r="M64" s="1240"/>
      <c r="N64" s="1482">
        <f>SUM(K64:L64)</f>
        <v>337876803</v>
      </c>
      <c r="O64" s="1485"/>
      <c r="P64" s="1240">
        <v>19639956</v>
      </c>
      <c r="Q64" s="1240"/>
      <c r="R64" s="1482">
        <f>SUM(O64:P64)</f>
        <v>19639956</v>
      </c>
    </row>
    <row r="65" spans="1:18" s="148" customFormat="1" ht="12.75">
      <c r="A65" s="1240"/>
      <c r="B65" s="1240" t="s">
        <v>134</v>
      </c>
      <c r="C65" s="1240"/>
      <c r="D65" s="1240"/>
      <c r="E65" s="1240">
        <v>6688513</v>
      </c>
      <c r="F65" s="1247">
        <f t="shared" si="19"/>
        <v>6688513</v>
      </c>
      <c r="G65" s="1240"/>
      <c r="H65" s="1240"/>
      <c r="I65" s="1240">
        <v>6688513</v>
      </c>
      <c r="J65" s="1456">
        <f t="shared" si="20"/>
        <v>6688513</v>
      </c>
      <c r="K65" s="1486"/>
      <c r="L65" s="1240">
        <v>23194863</v>
      </c>
      <c r="M65" s="1240"/>
      <c r="N65" s="1482">
        <f>SUM(K65:L65)</f>
        <v>23194863</v>
      </c>
      <c r="O65" s="1486"/>
      <c r="P65" s="1240">
        <v>17618312</v>
      </c>
      <c r="Q65" s="1240"/>
      <c r="R65" s="1482">
        <f>SUM(O65:P65)</f>
        <v>17618312</v>
      </c>
    </row>
    <row r="66" spans="1:18" s="12" customFormat="1" ht="12.75">
      <c r="A66" s="1037" t="s">
        <v>193</v>
      </c>
      <c r="B66" s="1037" t="s">
        <v>877</v>
      </c>
      <c r="C66" s="1037"/>
      <c r="D66" s="1037"/>
      <c r="E66" s="1037"/>
      <c r="F66" s="1247">
        <f t="shared" si="19"/>
        <v>0</v>
      </c>
      <c r="G66" s="1037"/>
      <c r="H66" s="1037"/>
      <c r="I66" s="1037"/>
      <c r="J66" s="1456">
        <f t="shared" si="20"/>
        <v>0</v>
      </c>
      <c r="K66" s="740"/>
      <c r="L66" s="1037"/>
      <c r="M66" s="1037"/>
      <c r="N66" s="1482">
        <f t="shared" si="21"/>
        <v>0</v>
      </c>
      <c r="O66" s="740"/>
      <c r="P66" s="1037"/>
      <c r="Q66" s="1037"/>
      <c r="R66" s="1482">
        <f>SUM(O66:Q66)</f>
        <v>0</v>
      </c>
    </row>
    <row r="67" spans="1:18" ht="15.75">
      <c r="A67" s="1307"/>
      <c r="B67" s="1308" t="s">
        <v>833</v>
      </c>
      <c r="C67" s="1309">
        <f aca="true" t="shared" si="22" ref="C67:N67">SUM(C56:C63)</f>
        <v>53078291</v>
      </c>
      <c r="D67" s="1309">
        <f t="shared" si="22"/>
        <v>0</v>
      </c>
      <c r="E67" s="1309">
        <f t="shared" si="22"/>
        <v>125222961</v>
      </c>
      <c r="F67" s="1310">
        <f t="shared" si="22"/>
        <v>178301252</v>
      </c>
      <c r="G67" s="1309">
        <f t="shared" si="22"/>
        <v>53078291</v>
      </c>
      <c r="H67" s="1309">
        <f t="shared" si="22"/>
        <v>0</v>
      </c>
      <c r="I67" s="1309">
        <f t="shared" si="22"/>
        <v>125222961</v>
      </c>
      <c r="J67" s="1457">
        <f t="shared" si="22"/>
        <v>178301252</v>
      </c>
      <c r="K67" s="1487">
        <f t="shared" si="22"/>
        <v>54187336</v>
      </c>
      <c r="L67" s="1309">
        <f t="shared" si="22"/>
        <v>389486188</v>
      </c>
      <c r="M67" s="1309">
        <f t="shared" si="22"/>
        <v>101496910</v>
      </c>
      <c r="N67" s="1310">
        <f t="shared" si="22"/>
        <v>545170434</v>
      </c>
      <c r="O67" s="1487">
        <f>SUM(O56:O63)</f>
        <v>155702558</v>
      </c>
      <c r="P67" s="1309">
        <f>SUM(P56:P63)</f>
        <v>732110846</v>
      </c>
      <c r="Q67" s="1309">
        <f>SUM(Q56:Q63)</f>
        <v>0</v>
      </c>
      <c r="R67" s="1310">
        <f>SUM(R56:R63)</f>
        <v>887813404</v>
      </c>
    </row>
    <row r="68" spans="1:18" ht="25.5">
      <c r="A68" s="644"/>
      <c r="B68" s="1238" t="s">
        <v>878</v>
      </c>
      <c r="C68" s="1242"/>
      <c r="D68" s="1242"/>
      <c r="E68" s="1242">
        <v>8502671</v>
      </c>
      <c r="F68" s="1242">
        <f>SUM(C68:E68)</f>
        <v>8502671</v>
      </c>
      <c r="G68" s="1242"/>
      <c r="H68" s="1242"/>
      <c r="I68" s="1242">
        <v>8502671</v>
      </c>
      <c r="J68" s="1458">
        <f>SUM(G68:I68)</f>
        <v>8502671</v>
      </c>
      <c r="K68" s="1488"/>
      <c r="L68" s="1242"/>
      <c r="M68" s="1242">
        <v>9473678</v>
      </c>
      <c r="N68" s="1489">
        <f>SUM(K68:M68)</f>
        <v>9473678</v>
      </c>
      <c r="O68" s="1488"/>
      <c r="P68" s="1242"/>
      <c r="Q68" s="1242">
        <v>10321373</v>
      </c>
      <c r="R68" s="1489">
        <f>SUM(O68:Q68)</f>
        <v>10321373</v>
      </c>
    </row>
    <row r="69" spans="1:18" ht="25.5">
      <c r="A69" s="644"/>
      <c r="B69" s="1238" t="s">
        <v>879</v>
      </c>
      <c r="C69" s="1242"/>
      <c r="D69" s="1242"/>
      <c r="E69" s="1242">
        <v>277712085</v>
      </c>
      <c r="F69" s="1242">
        <f>SUM(C69:E69)</f>
        <v>277712085</v>
      </c>
      <c r="G69" s="1242"/>
      <c r="H69" s="1242"/>
      <c r="I69" s="1242">
        <v>277712085</v>
      </c>
      <c r="J69" s="1458">
        <f>SUM(G69:I69)</f>
        <v>277712085</v>
      </c>
      <c r="K69" s="1488"/>
      <c r="L69" s="1242"/>
      <c r="M69" s="1242">
        <v>278048647</v>
      </c>
      <c r="N69" s="1489">
        <f>SUM(K69:M69)</f>
        <v>278048647</v>
      </c>
      <c r="O69" s="1488">
        <v>18396544</v>
      </c>
      <c r="P69" s="1242"/>
      <c r="Q69" s="1242">
        <v>251819711</v>
      </c>
      <c r="R69" s="1489">
        <f>SUM(O69:Q69)</f>
        <v>270216255</v>
      </c>
    </row>
    <row r="70" spans="1:18" ht="12.75">
      <c r="A70" s="644"/>
      <c r="B70" s="1297" t="s">
        <v>880</v>
      </c>
      <c r="C70" s="1242">
        <f>SUM(C68:C69)</f>
        <v>0</v>
      </c>
      <c r="D70" s="1242">
        <f>SUM(D68:D69)</f>
        <v>0</v>
      </c>
      <c r="E70" s="1242">
        <f>SUM(E68:E69)</f>
        <v>286214756</v>
      </c>
      <c r="F70" s="1242">
        <f>SUM(C70:E70)</f>
        <v>286214756</v>
      </c>
      <c r="G70" s="1242">
        <f>SUM(G68:G69)</f>
        <v>0</v>
      </c>
      <c r="H70" s="1242">
        <f>SUM(H68:H69)</f>
        <v>0</v>
      </c>
      <c r="I70" s="1242">
        <f>SUM(I68:I69)</f>
        <v>286214756</v>
      </c>
      <c r="J70" s="1458">
        <f>SUM(G70:I70)</f>
        <v>286214756</v>
      </c>
      <c r="K70" s="1488">
        <f>SUM(K68:K69)</f>
        <v>0</v>
      </c>
      <c r="L70" s="1242">
        <f>SUM(L68:L69)</f>
        <v>0</v>
      </c>
      <c r="M70" s="1242">
        <f>SUM(M68:M69)</f>
        <v>287522325</v>
      </c>
      <c r="N70" s="1489">
        <f>SUM(K70:M70)</f>
        <v>287522325</v>
      </c>
      <c r="O70" s="1488">
        <f>SUM(O68:O69)</f>
        <v>18396544</v>
      </c>
      <c r="P70" s="1242">
        <f>SUM(P68:P69)</f>
        <v>0</v>
      </c>
      <c r="Q70" s="1242">
        <f>SUM(Q68:Q69)</f>
        <v>262141084</v>
      </c>
      <c r="R70" s="1489">
        <f>SUM(O70:Q70)</f>
        <v>280537628</v>
      </c>
    </row>
    <row r="71" spans="1:18" ht="16.5" thickBot="1">
      <c r="A71" s="1252"/>
      <c r="B71" s="1312" t="s">
        <v>881</v>
      </c>
      <c r="C71" s="1254">
        <f aca="true" t="shared" si="23" ref="C71:N71">SUM(C70)</f>
        <v>0</v>
      </c>
      <c r="D71" s="1254">
        <f t="shared" si="23"/>
        <v>0</v>
      </c>
      <c r="E71" s="1254">
        <f t="shared" si="23"/>
        <v>286214756</v>
      </c>
      <c r="F71" s="1254">
        <f t="shared" si="23"/>
        <v>286214756</v>
      </c>
      <c r="G71" s="1254">
        <f t="shared" si="23"/>
        <v>0</v>
      </c>
      <c r="H71" s="1254">
        <f t="shared" si="23"/>
        <v>0</v>
      </c>
      <c r="I71" s="1254">
        <f t="shared" si="23"/>
        <v>286214756</v>
      </c>
      <c r="J71" s="1459">
        <f t="shared" si="23"/>
        <v>286214756</v>
      </c>
      <c r="K71" s="1490">
        <f t="shared" si="23"/>
        <v>0</v>
      </c>
      <c r="L71" s="1254">
        <f t="shared" si="23"/>
        <v>0</v>
      </c>
      <c r="M71" s="1254">
        <f t="shared" si="23"/>
        <v>287522325</v>
      </c>
      <c r="N71" s="1491">
        <f t="shared" si="23"/>
        <v>287522325</v>
      </c>
      <c r="O71" s="1490">
        <f>SUM(O70)</f>
        <v>18396544</v>
      </c>
      <c r="P71" s="1254">
        <f>SUM(P70)</f>
        <v>0</v>
      </c>
      <c r="Q71" s="1254">
        <f>SUM(Q70)</f>
        <v>262141084</v>
      </c>
      <c r="R71" s="1491">
        <f>SUM(R70)</f>
        <v>280537628</v>
      </c>
    </row>
    <row r="72" spans="1:18" s="1311" customFormat="1" ht="16.5" thickBot="1">
      <c r="A72" s="1996" t="s">
        <v>119</v>
      </c>
      <c r="B72" s="1997"/>
      <c r="C72" s="1291">
        <f aca="true" t="shared" si="24" ref="C72:N72">SUM(C67+C71)</f>
        <v>53078291</v>
      </c>
      <c r="D72" s="1291">
        <f t="shared" si="24"/>
        <v>0</v>
      </c>
      <c r="E72" s="1291">
        <f t="shared" si="24"/>
        <v>411437717</v>
      </c>
      <c r="F72" s="1292">
        <f t="shared" si="24"/>
        <v>464516008</v>
      </c>
      <c r="G72" s="1291">
        <f t="shared" si="24"/>
        <v>53078291</v>
      </c>
      <c r="H72" s="1291">
        <f t="shared" si="24"/>
        <v>0</v>
      </c>
      <c r="I72" s="1291">
        <f t="shared" si="24"/>
        <v>411437717</v>
      </c>
      <c r="J72" s="1460">
        <f t="shared" si="24"/>
        <v>464516008</v>
      </c>
      <c r="K72" s="1492">
        <f t="shared" si="24"/>
        <v>54187336</v>
      </c>
      <c r="L72" s="1291">
        <f t="shared" si="24"/>
        <v>389486188</v>
      </c>
      <c r="M72" s="1291">
        <f t="shared" si="24"/>
        <v>389019235</v>
      </c>
      <c r="N72" s="1292">
        <f t="shared" si="24"/>
        <v>832692759</v>
      </c>
      <c r="O72" s="1492">
        <f>SUM(O67+O71)</f>
        <v>174099102</v>
      </c>
      <c r="P72" s="1291">
        <f>SUM(P67+P71)</f>
        <v>732110846</v>
      </c>
      <c r="Q72" s="1291">
        <f>SUM(Q67+Q71)</f>
        <v>262141084</v>
      </c>
      <c r="R72" s="1292">
        <f>SUM(R67+R71)</f>
        <v>1168351032</v>
      </c>
    </row>
  </sheetData>
  <sheetProtection/>
  <mergeCells count="12">
    <mergeCell ref="A2:R2"/>
    <mergeCell ref="G10:J10"/>
    <mergeCell ref="K10:N10"/>
    <mergeCell ref="A1:N1"/>
    <mergeCell ref="A72:B72"/>
    <mergeCell ref="A55:B55"/>
    <mergeCell ref="A10:B11"/>
    <mergeCell ref="C10:F10"/>
    <mergeCell ref="A50:B50"/>
    <mergeCell ref="L3:P3"/>
    <mergeCell ref="O10:R10"/>
    <mergeCell ref="A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5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52"/>
  <sheetViews>
    <sheetView tabSelected="1" view="pageBreakPreview" zoomScale="60" zoomScalePageLayoutView="0" workbookViewId="0" topLeftCell="A1">
      <selection activeCell="B26" sqref="B26"/>
    </sheetView>
  </sheetViews>
  <sheetFormatPr defaultColWidth="9.140625" defaultRowHeight="12.75"/>
  <cols>
    <col min="2" max="2" width="65.140625" style="0" customWidth="1"/>
    <col min="3" max="7" width="13.7109375" style="0" bestFit="1" customWidth="1"/>
    <col min="8" max="8" width="14.7109375" style="0" bestFit="1" customWidth="1"/>
  </cols>
  <sheetData>
    <row r="1" spans="1:8" ht="15">
      <c r="A1" s="1755" t="s">
        <v>1168</v>
      </c>
      <c r="B1" s="1755"/>
      <c r="C1" s="1755"/>
      <c r="D1" s="1755"/>
      <c r="E1" s="1755"/>
      <c r="F1" s="1755"/>
      <c r="G1" s="1755"/>
      <c r="H1" s="1755"/>
    </row>
    <row r="2" spans="1:7" ht="19.5">
      <c r="A2" s="280"/>
      <c r="B2" s="305"/>
      <c r="C2" s="57"/>
      <c r="D2" s="57"/>
      <c r="E2" s="57"/>
      <c r="F2" s="57"/>
      <c r="G2" s="57"/>
    </row>
    <row r="3" spans="1:8" ht="15">
      <c r="A3" s="2019" t="s">
        <v>1133</v>
      </c>
      <c r="B3" s="2019"/>
      <c r="C3" s="2019"/>
      <c r="D3" s="2019"/>
      <c r="E3" s="2019"/>
      <c r="F3" s="2019"/>
      <c r="G3" s="2019"/>
      <c r="H3" s="2019"/>
    </row>
    <row r="4" spans="1:8" ht="15">
      <c r="A4" s="2019" t="s">
        <v>1167</v>
      </c>
      <c r="B4" s="2019"/>
      <c r="C4" s="2019"/>
      <c r="D4" s="2019"/>
      <c r="E4" s="2019"/>
      <c r="F4" s="2019"/>
      <c r="G4" s="2019"/>
      <c r="H4" s="2019"/>
    </row>
    <row r="5" spans="1:8" ht="19.5" customHeight="1">
      <c r="A5" s="2018" t="s">
        <v>884</v>
      </c>
      <c r="B5" s="2018"/>
      <c r="C5" s="2018"/>
      <c r="D5" s="2018"/>
      <c r="E5" s="2018"/>
      <c r="F5" s="2018"/>
      <c r="G5" s="2018"/>
      <c r="H5" s="2018"/>
    </row>
    <row r="6" spans="1:8" ht="19.5" customHeight="1">
      <c r="A6" s="1313"/>
      <c r="B6" s="1313"/>
      <c r="C6" s="1313"/>
      <c r="D6" s="1313"/>
      <c r="E6" s="1313"/>
      <c r="F6" s="1313"/>
      <c r="G6" s="1313"/>
      <c r="H6" s="1313"/>
    </row>
    <row r="7" spans="2:8" ht="12.75">
      <c r="B7" s="2014" t="s">
        <v>155</v>
      </c>
      <c r="C7" s="2014"/>
      <c r="D7" s="2014"/>
      <c r="E7" s="2014"/>
      <c r="F7" s="2014"/>
      <c r="G7" s="2014"/>
      <c r="H7" s="2014"/>
    </row>
    <row r="8" spans="1:8" ht="25.5">
      <c r="A8" s="2015" t="s">
        <v>156</v>
      </c>
      <c r="B8" s="404" t="s">
        <v>24</v>
      </c>
      <c r="C8" s="8" t="s">
        <v>159</v>
      </c>
      <c r="D8" s="8" t="s">
        <v>793</v>
      </c>
      <c r="E8" s="8" t="s">
        <v>803</v>
      </c>
      <c r="F8" s="8" t="s">
        <v>885</v>
      </c>
      <c r="G8" s="8" t="s">
        <v>891</v>
      </c>
      <c r="H8" s="8" t="s">
        <v>947</v>
      </c>
    </row>
    <row r="9" spans="1:8" ht="12.75">
      <c r="A9" s="2015"/>
      <c r="B9" s="405" t="s">
        <v>161</v>
      </c>
      <c r="C9" s="406" t="s">
        <v>162</v>
      </c>
      <c r="D9" s="406" t="s">
        <v>163</v>
      </c>
      <c r="E9" s="406" t="s">
        <v>164</v>
      </c>
      <c r="F9" s="406" t="s">
        <v>505</v>
      </c>
      <c r="G9" s="406" t="s">
        <v>525</v>
      </c>
      <c r="H9" s="406" t="s">
        <v>804</v>
      </c>
    </row>
    <row r="10" spans="1:8" ht="12.75">
      <c r="A10" s="407" t="s">
        <v>38</v>
      </c>
      <c r="B10" s="408" t="s">
        <v>598</v>
      </c>
      <c r="C10" s="409"/>
      <c r="D10" s="409"/>
      <c r="E10" s="409"/>
      <c r="F10" s="409"/>
      <c r="G10" s="409"/>
      <c r="H10" s="409"/>
    </row>
    <row r="11" spans="1:8" ht="15">
      <c r="A11" s="410" t="s">
        <v>40</v>
      </c>
      <c r="B11" s="285" t="s">
        <v>953</v>
      </c>
      <c r="C11" s="411">
        <v>3000000</v>
      </c>
      <c r="D11" s="411">
        <v>15176500</v>
      </c>
      <c r="E11" s="411">
        <v>28876987</v>
      </c>
      <c r="F11" s="411">
        <v>18876987</v>
      </c>
      <c r="G11" s="411">
        <v>18876987</v>
      </c>
      <c r="H11" s="1575">
        <v>15176500</v>
      </c>
    </row>
    <row r="12" spans="1:8" ht="15">
      <c r="A12" s="410" t="s">
        <v>47</v>
      </c>
      <c r="B12" s="285" t="s">
        <v>954</v>
      </c>
      <c r="C12" s="411"/>
      <c r="D12" s="411"/>
      <c r="E12" s="411"/>
      <c r="F12" s="411"/>
      <c r="G12" s="411"/>
      <c r="H12" s="1575">
        <v>318334729</v>
      </c>
    </row>
    <row r="13" spans="1:8" ht="12.75">
      <c r="A13" s="410" t="s">
        <v>49</v>
      </c>
      <c r="B13" s="285" t="s">
        <v>955</v>
      </c>
      <c r="C13" s="1198">
        <v>3000000</v>
      </c>
      <c r="D13" s="1198">
        <v>3000000</v>
      </c>
      <c r="E13" s="1198">
        <v>3000000</v>
      </c>
      <c r="F13" s="1198">
        <v>3000000</v>
      </c>
      <c r="G13" s="1198">
        <v>3000000</v>
      </c>
      <c r="H13" s="1198">
        <v>0</v>
      </c>
    </row>
    <row r="14" spans="1:8" ht="12.75">
      <c r="A14" s="410" t="s">
        <v>51</v>
      </c>
      <c r="B14" s="412" t="s">
        <v>600</v>
      </c>
      <c r="C14" s="1198">
        <v>0</v>
      </c>
      <c r="D14" s="1198">
        <v>0</v>
      </c>
      <c r="E14" s="1198">
        <v>0</v>
      </c>
      <c r="F14" s="1198">
        <v>0</v>
      </c>
      <c r="G14" s="1198">
        <v>0</v>
      </c>
      <c r="H14" s="1198">
        <v>0</v>
      </c>
    </row>
    <row r="15" spans="1:8" ht="12.75">
      <c r="A15" s="410" t="s">
        <v>53</v>
      </c>
      <c r="B15" s="413" t="s">
        <v>956</v>
      </c>
      <c r="C15" s="411">
        <v>3100000</v>
      </c>
      <c r="D15" s="411">
        <v>3100000</v>
      </c>
      <c r="E15" s="411">
        <v>3100000</v>
      </c>
      <c r="F15" s="411">
        <v>3100000</v>
      </c>
      <c r="G15" s="411">
        <v>3100000</v>
      </c>
      <c r="H15" s="411">
        <v>3100000</v>
      </c>
    </row>
    <row r="16" spans="1:8" ht="25.5">
      <c r="A16" s="410" t="s">
        <v>55</v>
      </c>
      <c r="B16" s="413" t="s">
        <v>957</v>
      </c>
      <c r="C16" s="411">
        <v>1700000</v>
      </c>
      <c r="D16" s="411">
        <v>1700000</v>
      </c>
      <c r="E16" s="411">
        <v>1700000</v>
      </c>
      <c r="F16" s="411">
        <v>1700000</v>
      </c>
      <c r="G16" s="411">
        <v>1700000</v>
      </c>
      <c r="H16" s="411">
        <v>1700000</v>
      </c>
    </row>
    <row r="17" spans="1:8" ht="25.5">
      <c r="A17" s="410" t="s">
        <v>57</v>
      </c>
      <c r="B17" s="413" t="s">
        <v>958</v>
      </c>
      <c r="C17" s="411"/>
      <c r="D17" s="411"/>
      <c r="E17" s="411"/>
      <c r="F17" s="411"/>
      <c r="G17" s="411"/>
      <c r="H17" s="411">
        <v>4959340</v>
      </c>
    </row>
    <row r="18" spans="1:8" ht="25.5">
      <c r="A18" s="410" t="s">
        <v>86</v>
      </c>
      <c r="B18" s="413" t="s">
        <v>602</v>
      </c>
      <c r="C18" s="411">
        <v>400000</v>
      </c>
      <c r="D18" s="411">
        <v>0</v>
      </c>
      <c r="E18" s="411">
        <v>0</v>
      </c>
      <c r="F18" s="411">
        <v>0</v>
      </c>
      <c r="G18" s="411">
        <v>0</v>
      </c>
      <c r="H18" s="411">
        <v>0</v>
      </c>
    </row>
    <row r="19" spans="1:8" ht="25.5">
      <c r="A19" s="410" t="s">
        <v>59</v>
      </c>
      <c r="B19" s="413" t="s">
        <v>602</v>
      </c>
      <c r="C19" s="1576"/>
      <c r="D19" s="1576"/>
      <c r="E19" s="1576"/>
      <c r="F19" s="1576"/>
      <c r="G19" s="1576"/>
      <c r="H19" s="1576">
        <v>6324980</v>
      </c>
    </row>
    <row r="20" spans="1:8" ht="12.75">
      <c r="A20" s="410" t="s">
        <v>61</v>
      </c>
      <c r="B20" s="414" t="s">
        <v>765</v>
      </c>
      <c r="C20" s="415">
        <v>3000000</v>
      </c>
      <c r="D20" s="415">
        <v>3000000</v>
      </c>
      <c r="E20" s="1199">
        <v>3810000</v>
      </c>
      <c r="F20" s="1199">
        <v>3810000</v>
      </c>
      <c r="G20" s="1199">
        <v>3810000</v>
      </c>
      <c r="H20" s="1199">
        <v>0</v>
      </c>
    </row>
    <row r="21" spans="1:8" ht="12.75">
      <c r="A21" s="410" t="s">
        <v>63</v>
      </c>
      <c r="B21" s="1577" t="s">
        <v>959</v>
      </c>
      <c r="C21" s="415"/>
      <c r="D21" s="415"/>
      <c r="E21" s="1199"/>
      <c r="F21" s="1199"/>
      <c r="G21" s="1199"/>
      <c r="H21" s="1199">
        <v>242000000</v>
      </c>
    </row>
    <row r="22" spans="1:8" ht="12.75">
      <c r="A22" s="410" t="s">
        <v>65</v>
      </c>
      <c r="B22" s="416" t="s">
        <v>603</v>
      </c>
      <c r="C22" s="417">
        <f aca="true" t="shared" si="0" ref="C22:H22">SUM(C11:C21)</f>
        <v>14200000</v>
      </c>
      <c r="D22" s="417">
        <f t="shared" si="0"/>
        <v>25976500</v>
      </c>
      <c r="E22" s="417">
        <f t="shared" si="0"/>
        <v>40486987</v>
      </c>
      <c r="F22" s="417">
        <f t="shared" si="0"/>
        <v>30486987</v>
      </c>
      <c r="G22" s="417">
        <f t="shared" si="0"/>
        <v>30486987</v>
      </c>
      <c r="H22" s="417">
        <f t="shared" si="0"/>
        <v>591595549</v>
      </c>
    </row>
    <row r="23" spans="1:8" ht="12.75">
      <c r="A23" s="418" t="s">
        <v>92</v>
      </c>
      <c r="B23" s="75" t="s">
        <v>604</v>
      </c>
      <c r="C23" s="419"/>
      <c r="D23" s="419"/>
      <c r="E23" s="419"/>
      <c r="F23" s="419"/>
      <c r="G23" s="419"/>
      <c r="H23" s="419"/>
    </row>
    <row r="24" spans="1:8" ht="12.75">
      <c r="A24" s="410" t="s">
        <v>66</v>
      </c>
      <c r="B24" s="146"/>
      <c r="C24" s="419"/>
      <c r="D24" s="419"/>
      <c r="E24" s="419"/>
      <c r="F24" s="419"/>
      <c r="G24" s="419"/>
      <c r="H24" s="419"/>
    </row>
    <row r="25" spans="1:8" ht="12.75">
      <c r="A25" s="410" t="s">
        <v>67</v>
      </c>
      <c r="B25" s="146" t="s">
        <v>605</v>
      </c>
      <c r="C25" s="419">
        <v>500000</v>
      </c>
      <c r="D25" s="419">
        <v>500000</v>
      </c>
      <c r="E25" s="1200">
        <v>482000</v>
      </c>
      <c r="F25" s="1200">
        <v>482000</v>
      </c>
      <c r="G25" s="1200">
        <v>482000</v>
      </c>
      <c r="H25" s="1200">
        <v>0</v>
      </c>
    </row>
    <row r="26" spans="1:8" ht="25.5">
      <c r="A26" s="410" t="s">
        <v>68</v>
      </c>
      <c r="B26" s="150" t="s">
        <v>960</v>
      </c>
      <c r="C26" s="419">
        <v>3288618</v>
      </c>
      <c r="D26" s="419">
        <v>3288618</v>
      </c>
      <c r="E26" s="419">
        <v>3288618</v>
      </c>
      <c r="F26" s="419">
        <v>3288618</v>
      </c>
      <c r="G26" s="419">
        <v>3288618</v>
      </c>
      <c r="H26" s="419">
        <v>3288618</v>
      </c>
    </row>
    <row r="27" spans="1:8" ht="12.75">
      <c r="A27" s="418" t="s">
        <v>70</v>
      </c>
      <c r="B27" s="416" t="s">
        <v>603</v>
      </c>
      <c r="C27" s="546">
        <f aca="true" t="shared" si="1" ref="C27:H27">SUM(C25:C26)</f>
        <v>3788618</v>
      </c>
      <c r="D27" s="546">
        <f t="shared" si="1"/>
        <v>3788618</v>
      </c>
      <c r="E27" s="546">
        <f t="shared" si="1"/>
        <v>3770618</v>
      </c>
      <c r="F27" s="546">
        <f t="shared" si="1"/>
        <v>3770618</v>
      </c>
      <c r="G27" s="546">
        <f t="shared" si="1"/>
        <v>3770618</v>
      </c>
      <c r="H27" s="546">
        <f t="shared" si="1"/>
        <v>3288618</v>
      </c>
    </row>
    <row r="28" spans="1:8" ht="12.75">
      <c r="A28" s="418" t="s">
        <v>97</v>
      </c>
      <c r="B28" s="104" t="s">
        <v>606</v>
      </c>
      <c r="C28" s="419"/>
      <c r="D28" s="419"/>
      <c r="E28" s="419"/>
      <c r="F28" s="419"/>
      <c r="G28" s="419"/>
      <c r="H28" s="419"/>
    </row>
    <row r="29" spans="1:8" ht="25.5">
      <c r="A29" s="268" t="s">
        <v>99</v>
      </c>
      <c r="B29" s="120" t="s">
        <v>607</v>
      </c>
      <c r="C29" s="100">
        <v>16038000</v>
      </c>
      <c r="D29" s="100">
        <v>16038000</v>
      </c>
      <c r="E29" s="100">
        <v>0</v>
      </c>
      <c r="F29" s="100">
        <v>0</v>
      </c>
      <c r="G29" s="100">
        <v>0</v>
      </c>
      <c r="H29" s="100">
        <v>0</v>
      </c>
    </row>
    <row r="30" spans="1:8" ht="25.5">
      <c r="A30" s="421" t="s">
        <v>101</v>
      </c>
      <c r="B30" s="150" t="s">
        <v>808</v>
      </c>
      <c r="C30" s="100">
        <v>3200000</v>
      </c>
      <c r="D30" s="100">
        <v>3200000</v>
      </c>
      <c r="E30" s="100">
        <v>0</v>
      </c>
      <c r="F30" s="100">
        <v>0</v>
      </c>
      <c r="G30" s="100">
        <v>0</v>
      </c>
      <c r="H30" s="100">
        <v>0</v>
      </c>
    </row>
    <row r="31" spans="1:8" ht="15">
      <c r="A31" s="410" t="s">
        <v>103</v>
      </c>
      <c r="B31" s="1578" t="s">
        <v>603</v>
      </c>
      <c r="C31" s="1579">
        <f aca="true" t="shared" si="2" ref="C31:H31">SUM(C29:C30)</f>
        <v>19238000</v>
      </c>
      <c r="D31" s="1579">
        <f t="shared" si="2"/>
        <v>19238000</v>
      </c>
      <c r="E31" s="1579">
        <f t="shared" si="2"/>
        <v>0</v>
      </c>
      <c r="F31" s="1579">
        <f t="shared" si="2"/>
        <v>0</v>
      </c>
      <c r="G31" s="1579">
        <f t="shared" si="2"/>
        <v>0</v>
      </c>
      <c r="H31" s="1579">
        <f t="shared" si="2"/>
        <v>0</v>
      </c>
    </row>
    <row r="32" spans="1:8" ht="15">
      <c r="A32" s="410" t="s">
        <v>105</v>
      </c>
      <c r="B32" s="1580" t="s">
        <v>961</v>
      </c>
      <c r="C32" s="419"/>
      <c r="D32" s="419"/>
      <c r="E32" s="419"/>
      <c r="F32" s="419"/>
      <c r="G32" s="419"/>
      <c r="H32" s="419"/>
    </row>
    <row r="33" spans="1:8" ht="12.75">
      <c r="A33" s="410" t="s">
        <v>107</v>
      </c>
      <c r="B33" s="613" t="s">
        <v>764</v>
      </c>
      <c r="C33" s="1581">
        <v>3851547</v>
      </c>
      <c r="D33" s="419">
        <v>3851547</v>
      </c>
      <c r="E33" s="1200">
        <v>3021424</v>
      </c>
      <c r="F33" s="1200">
        <v>3021424</v>
      </c>
      <c r="G33" s="1200">
        <v>3021424</v>
      </c>
      <c r="H33" s="1200">
        <v>3004538</v>
      </c>
    </row>
    <row r="34" spans="1:8" ht="25.5">
      <c r="A34" s="410" t="s">
        <v>109</v>
      </c>
      <c r="B34" s="1582" t="s">
        <v>601</v>
      </c>
      <c r="C34" s="645"/>
      <c r="D34" s="419"/>
      <c r="E34" s="1200"/>
      <c r="F34" s="1200"/>
      <c r="G34" s="1200"/>
      <c r="H34" s="1200">
        <v>45984008</v>
      </c>
    </row>
    <row r="35" spans="1:8" ht="25.5">
      <c r="A35" s="410" t="s">
        <v>111</v>
      </c>
      <c r="B35" s="1583" t="s">
        <v>602</v>
      </c>
      <c r="C35" s="645"/>
      <c r="D35" s="419"/>
      <c r="E35" s="1200"/>
      <c r="F35" s="1200"/>
      <c r="G35" s="1200"/>
      <c r="H35" s="1200">
        <v>606664</v>
      </c>
    </row>
    <row r="36" spans="1:8" ht="12.75">
      <c r="A36" s="410" t="s">
        <v>113</v>
      </c>
      <c r="B36" s="1584" t="s">
        <v>599</v>
      </c>
      <c r="C36" s="645"/>
      <c r="D36" s="419"/>
      <c r="E36" s="1200"/>
      <c r="F36" s="1200"/>
      <c r="G36" s="1200"/>
      <c r="H36" s="1200">
        <v>27781710</v>
      </c>
    </row>
    <row r="37" spans="1:8" ht="12.75">
      <c r="A37" s="410" t="s">
        <v>115</v>
      </c>
      <c r="B37" s="1577" t="s">
        <v>959</v>
      </c>
      <c r="C37" s="420"/>
      <c r="D37" s="419"/>
      <c r="E37" s="1200"/>
      <c r="F37" s="1200"/>
      <c r="G37" s="1200"/>
      <c r="H37" s="1200">
        <v>28000000</v>
      </c>
    </row>
    <row r="38" spans="1:8" ht="12.75">
      <c r="A38" s="410" t="s">
        <v>117</v>
      </c>
      <c r="B38" s="416" t="s">
        <v>603</v>
      </c>
      <c r="C38" s="417">
        <f aca="true" t="shared" si="3" ref="C38:H38">SUM(C33:C37)</f>
        <v>3851547</v>
      </c>
      <c r="D38" s="417">
        <f t="shared" si="3"/>
        <v>3851547</v>
      </c>
      <c r="E38" s="417">
        <f t="shared" si="3"/>
        <v>3021424</v>
      </c>
      <c r="F38" s="417">
        <f t="shared" si="3"/>
        <v>3021424</v>
      </c>
      <c r="G38" s="417">
        <f t="shared" si="3"/>
        <v>3021424</v>
      </c>
      <c r="H38" s="417">
        <f t="shared" si="3"/>
        <v>105376920</v>
      </c>
    </row>
    <row r="39" spans="1:8" ht="12.75">
      <c r="A39" s="410" t="s">
        <v>118</v>
      </c>
      <c r="B39" s="286"/>
      <c r="C39" s="159"/>
      <c r="D39" s="159"/>
      <c r="E39" s="159"/>
      <c r="F39" s="159"/>
      <c r="G39" s="159"/>
      <c r="H39" s="159"/>
    </row>
    <row r="40" spans="1:8" ht="12.75">
      <c r="A40" s="418" t="s">
        <v>120</v>
      </c>
      <c r="B40" s="416"/>
      <c r="C40" s="77"/>
      <c r="D40" s="77"/>
      <c r="E40" s="77"/>
      <c r="F40" s="77"/>
      <c r="G40" s="77"/>
      <c r="H40" s="77"/>
    </row>
    <row r="41" spans="1:8" ht="12.75">
      <c r="A41" s="410" t="s">
        <v>122</v>
      </c>
      <c r="B41" s="422"/>
      <c r="C41" s="419"/>
      <c r="D41" s="419"/>
      <c r="E41" s="419"/>
      <c r="F41" s="419"/>
      <c r="G41" s="419"/>
      <c r="H41" s="419"/>
    </row>
    <row r="42" spans="1:8" ht="12.75">
      <c r="A42" s="418" t="s">
        <v>124</v>
      </c>
      <c r="B42" s="416" t="s">
        <v>608</v>
      </c>
      <c r="C42" s="77">
        <f aca="true" t="shared" si="4" ref="C42:H42">C22+C38+C40+C27+C31</f>
        <v>41078165</v>
      </c>
      <c r="D42" s="77">
        <f t="shared" si="4"/>
        <v>52854665</v>
      </c>
      <c r="E42" s="77">
        <f t="shared" si="4"/>
        <v>47279029</v>
      </c>
      <c r="F42" s="77">
        <f t="shared" si="4"/>
        <v>37279029</v>
      </c>
      <c r="G42" s="77">
        <f t="shared" si="4"/>
        <v>37279029</v>
      </c>
      <c r="H42" s="77">
        <f t="shared" si="4"/>
        <v>700261087</v>
      </c>
    </row>
    <row r="43" spans="3:8" ht="12.75">
      <c r="C43" s="57"/>
      <c r="D43" s="57"/>
      <c r="E43" s="57"/>
      <c r="F43" s="57"/>
      <c r="G43" s="57"/>
      <c r="H43" s="57"/>
    </row>
    <row r="44" spans="1:8" ht="15.75">
      <c r="A44" s="2016" t="s">
        <v>898</v>
      </c>
      <c r="B44" s="2016"/>
      <c r="C44" s="57"/>
      <c r="D44" s="57"/>
      <c r="E44" s="57"/>
      <c r="F44" s="57"/>
      <c r="G44" s="57"/>
      <c r="H44" s="57"/>
    </row>
    <row r="45" spans="3:8" ht="12.75">
      <c r="C45" s="57"/>
      <c r="D45" s="57"/>
      <c r="E45" s="57"/>
      <c r="F45" s="57"/>
      <c r="G45" s="57"/>
      <c r="H45" s="57"/>
    </row>
    <row r="46" spans="1:8" ht="12.75">
      <c r="A46" s="644" t="s">
        <v>126</v>
      </c>
      <c r="B46" s="644" t="s">
        <v>886</v>
      </c>
      <c r="C46" s="645">
        <v>0</v>
      </c>
      <c r="D46" s="645">
        <v>0</v>
      </c>
      <c r="E46" s="645">
        <v>0</v>
      </c>
      <c r="F46" s="645">
        <v>10000000</v>
      </c>
      <c r="G46" s="645">
        <v>10000000</v>
      </c>
      <c r="H46" s="645">
        <v>15000000</v>
      </c>
    </row>
    <row r="47" spans="3:8" ht="12.75">
      <c r="C47" s="57"/>
      <c r="D47" s="57"/>
      <c r="E47" s="57"/>
      <c r="F47" s="57"/>
      <c r="G47" s="57"/>
      <c r="H47" s="57"/>
    </row>
    <row r="48" spans="3:8" ht="12.75">
      <c r="C48" s="57"/>
      <c r="D48" s="57"/>
      <c r="E48" s="57"/>
      <c r="F48" s="57"/>
      <c r="G48" s="57"/>
      <c r="H48" s="57"/>
    </row>
    <row r="49" spans="3:8" ht="12.75">
      <c r="C49" s="57"/>
      <c r="D49" s="57"/>
      <c r="E49" s="57"/>
      <c r="F49" s="57"/>
      <c r="G49" s="57"/>
      <c r="H49" s="57"/>
    </row>
    <row r="50" spans="1:8" ht="12.75">
      <c r="A50" s="2017" t="s">
        <v>887</v>
      </c>
      <c r="B50" s="2017"/>
      <c r="C50" s="1393">
        <f aca="true" t="shared" si="5" ref="C50:H50">SUM(C42+C46)</f>
        <v>41078165</v>
      </c>
      <c r="D50" s="1393">
        <f t="shared" si="5"/>
        <v>52854665</v>
      </c>
      <c r="E50" s="1393">
        <f t="shared" si="5"/>
        <v>47279029</v>
      </c>
      <c r="F50" s="1393">
        <f t="shared" si="5"/>
        <v>47279029</v>
      </c>
      <c r="G50" s="1393">
        <f t="shared" si="5"/>
        <v>47279029</v>
      </c>
      <c r="H50" s="1393">
        <f t="shared" si="5"/>
        <v>715261087</v>
      </c>
    </row>
    <row r="51" spans="3:8" ht="12.75">
      <c r="C51" s="57"/>
      <c r="D51" s="57"/>
      <c r="E51" s="57"/>
      <c r="F51" s="57"/>
      <c r="G51" s="57"/>
      <c r="H51" s="57"/>
    </row>
    <row r="52" spans="3:8" ht="12.75">
      <c r="C52" s="57"/>
      <c r="D52" s="57"/>
      <c r="E52" s="57"/>
      <c r="F52" s="57"/>
      <c r="G52" s="57"/>
      <c r="H52" s="57"/>
    </row>
  </sheetData>
  <sheetProtection/>
  <mergeCells count="8">
    <mergeCell ref="A1:H1"/>
    <mergeCell ref="B7:H7"/>
    <mergeCell ref="A8:A9"/>
    <mergeCell ref="A44:B44"/>
    <mergeCell ref="A50:B50"/>
    <mergeCell ref="A5:H5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21" customWidth="1"/>
    <col min="2" max="2" width="16.00390625" style="21" customWidth="1"/>
    <col min="3" max="4" width="11.57421875" style="21" customWidth="1"/>
    <col min="5" max="5" width="13.7109375" style="21" customWidth="1"/>
    <col min="6" max="16384" width="11.57421875" style="21" customWidth="1"/>
  </cols>
  <sheetData>
    <row r="1" spans="4:5" ht="12.75" customHeight="1">
      <c r="D1" s="1651" t="s">
        <v>609</v>
      </c>
      <c r="E1" s="1651"/>
    </row>
    <row r="2" spans="2:5" ht="12.75" customHeight="1">
      <c r="B2" s="2020" t="s">
        <v>1</v>
      </c>
      <c r="C2" s="2020"/>
      <c r="D2" s="2020"/>
      <c r="E2" s="2020"/>
    </row>
    <row r="3" spans="1:2" ht="29.25" customHeight="1">
      <c r="A3" s="49"/>
      <c r="B3" s="49"/>
    </row>
    <row r="4" spans="1:5" ht="12.75" customHeight="1">
      <c r="A4" s="2021" t="s">
        <v>2</v>
      </c>
      <c r="B4" s="2021"/>
      <c r="C4" s="2021"/>
      <c r="D4" s="2021"/>
      <c r="E4" s="2021"/>
    </row>
    <row r="5" spans="1:5" ht="12.75" customHeight="1">
      <c r="A5" s="1652" t="s">
        <v>610</v>
      </c>
      <c r="B5" s="1652"/>
      <c r="C5" s="1652"/>
      <c r="D5" s="1652"/>
      <c r="E5" s="1652"/>
    </row>
    <row r="6" spans="1:3" ht="27" customHeight="1">
      <c r="A6" s="423"/>
      <c r="B6" s="423"/>
      <c r="C6" s="423"/>
    </row>
    <row r="7" spans="1:5" ht="13.5" customHeight="1">
      <c r="A7" s="423"/>
      <c r="B7" s="423"/>
      <c r="C7" s="423"/>
      <c r="D7" s="1647" t="s">
        <v>5</v>
      </c>
      <c r="E7" s="1647"/>
    </row>
    <row r="8" spans="1:5" ht="12.75" customHeight="1">
      <c r="A8" s="2022" t="s">
        <v>579</v>
      </c>
      <c r="B8" s="2023" t="s">
        <v>580</v>
      </c>
      <c r="C8" s="2024" t="s">
        <v>611</v>
      </c>
      <c r="D8" s="2024"/>
      <c r="E8" s="2024"/>
    </row>
    <row r="9" spans="1:5" ht="33.75" customHeight="1">
      <c r="A9" s="2022"/>
      <c r="B9" s="2023"/>
      <c r="C9" s="424" t="s">
        <v>582</v>
      </c>
      <c r="D9" s="424" t="s">
        <v>583</v>
      </c>
      <c r="E9" s="425" t="s">
        <v>584</v>
      </c>
    </row>
    <row r="10" spans="1:5" ht="15" customHeight="1">
      <c r="A10" s="426" t="s">
        <v>2</v>
      </c>
      <c r="B10" s="427">
        <f>C10+D10+E10</f>
        <v>210979</v>
      </c>
      <c r="C10" s="428">
        <f>SUM(C11:C14)</f>
        <v>202719</v>
      </c>
      <c r="D10" s="428">
        <f>SUM(D11:D14)</f>
        <v>8260</v>
      </c>
      <c r="E10" s="429">
        <f>SUM(E11:E14)</f>
        <v>0</v>
      </c>
    </row>
    <row r="11" spans="1:5" s="433" customFormat="1" ht="15" customHeight="1">
      <c r="A11" s="430" t="s">
        <v>612</v>
      </c>
      <c r="B11" s="431"/>
      <c r="C11" s="431">
        <v>202719</v>
      </c>
      <c r="D11" s="431"/>
      <c r="E11" s="432"/>
    </row>
    <row r="12" spans="1:5" s="433" customFormat="1" ht="15" customHeight="1">
      <c r="A12" s="430" t="s">
        <v>613</v>
      </c>
      <c r="B12" s="431"/>
      <c r="C12" s="431"/>
      <c r="D12" s="431">
        <v>610</v>
      </c>
      <c r="E12" s="432"/>
    </row>
    <row r="13" spans="1:5" s="433" customFormat="1" ht="15" customHeight="1">
      <c r="A13" s="434" t="s">
        <v>614</v>
      </c>
      <c r="B13" s="435"/>
      <c r="C13" s="431"/>
      <c r="D13" s="435">
        <v>7650</v>
      </c>
      <c r="E13" s="432"/>
    </row>
    <row r="14" spans="1:5" s="433" customFormat="1" ht="15" customHeight="1">
      <c r="A14" s="430" t="s">
        <v>615</v>
      </c>
      <c r="B14" s="431"/>
      <c r="C14" s="431"/>
      <c r="D14" s="431"/>
      <c r="E14" s="432" t="s">
        <v>616</v>
      </c>
    </row>
    <row r="15" spans="1:5" ht="15" customHeight="1">
      <c r="A15" s="436" t="s">
        <v>245</v>
      </c>
      <c r="B15" s="427">
        <f>C15+D15+E15</f>
        <v>112004</v>
      </c>
      <c r="C15" s="427">
        <f>SUM(C16:C17)</f>
        <v>91520</v>
      </c>
      <c r="D15" s="427">
        <f>SUM(D16:D17)</f>
        <v>0</v>
      </c>
      <c r="E15" s="437">
        <f>SUM(E16:E17)</f>
        <v>20484</v>
      </c>
    </row>
    <row r="16" spans="1:5" s="433" customFormat="1" ht="15" customHeight="1">
      <c r="A16" s="434" t="s">
        <v>617</v>
      </c>
      <c r="B16" s="435"/>
      <c r="C16" s="431">
        <v>68282</v>
      </c>
      <c r="D16" s="435"/>
      <c r="E16" s="438">
        <v>20484</v>
      </c>
    </row>
    <row r="17" spans="1:5" s="433" customFormat="1" ht="15" customHeight="1">
      <c r="A17" s="434" t="s">
        <v>618</v>
      </c>
      <c r="B17" s="435"/>
      <c r="C17" s="431">
        <v>23238</v>
      </c>
      <c r="D17" s="435"/>
      <c r="E17" s="438"/>
    </row>
    <row r="18" spans="1:5" ht="15" customHeight="1">
      <c r="A18" s="436" t="s">
        <v>619</v>
      </c>
      <c r="B18" s="427">
        <v>80345</v>
      </c>
      <c r="C18" s="439">
        <f>SUM(C19:C20)</f>
        <v>72285</v>
      </c>
      <c r="D18" s="439">
        <f>SUM(D19:D20)</f>
        <v>8060</v>
      </c>
      <c r="E18" s="440">
        <f>SUM(E19:E20)</f>
        <v>0</v>
      </c>
    </row>
    <row r="19" spans="1:5" s="433" customFormat="1" ht="15" customHeight="1">
      <c r="A19" s="434" t="s">
        <v>620</v>
      </c>
      <c r="B19" s="435"/>
      <c r="C19" s="431">
        <v>72285</v>
      </c>
      <c r="D19" s="435"/>
      <c r="E19" s="438"/>
    </row>
    <row r="20" spans="1:5" s="433" customFormat="1" ht="15" customHeight="1">
      <c r="A20" s="434" t="s">
        <v>621</v>
      </c>
      <c r="B20" s="435"/>
      <c r="C20" s="431"/>
      <c r="D20" s="435">
        <v>8060</v>
      </c>
      <c r="E20" s="438"/>
    </row>
    <row r="21" spans="1:5" ht="15" customHeight="1">
      <c r="A21" s="436" t="s">
        <v>622</v>
      </c>
      <c r="B21" s="427">
        <v>16681</v>
      </c>
      <c r="C21" s="427">
        <f>B21</f>
        <v>16681</v>
      </c>
      <c r="D21" s="427"/>
      <c r="E21" s="437"/>
    </row>
    <row r="22" spans="1:5" ht="15" customHeight="1">
      <c r="A22" s="436" t="s">
        <v>249</v>
      </c>
      <c r="B22" s="427">
        <v>10850</v>
      </c>
      <c r="C22" s="427">
        <f>B22</f>
        <v>10850</v>
      </c>
      <c r="D22" s="427"/>
      <c r="E22" s="437"/>
    </row>
    <row r="23" spans="1:5" s="23" customFormat="1" ht="15" customHeight="1">
      <c r="A23" s="441" t="s">
        <v>25</v>
      </c>
      <c r="B23" s="442">
        <f>B10+B15+B18+B21+B22</f>
        <v>430859</v>
      </c>
      <c r="C23" s="442">
        <f>C10+C15+C18+C21+C22</f>
        <v>394055</v>
      </c>
      <c r="D23" s="442">
        <f>D10+D15+D18+D21+D22</f>
        <v>16320</v>
      </c>
      <c r="E23" s="442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1"/>
  <sheetViews>
    <sheetView view="pageBreakPreview" zoomScale="130" zoomScaleSheetLayoutView="130" zoomScalePageLayoutView="0" workbookViewId="0" topLeftCell="A1">
      <selection activeCell="C12" sqref="C12"/>
    </sheetView>
  </sheetViews>
  <sheetFormatPr defaultColWidth="11.57421875" defaultRowHeight="12.75" customHeight="1"/>
  <cols>
    <col min="1" max="1" width="4.00390625" style="117" customWidth="1"/>
    <col min="2" max="2" width="3.28125" style="117" customWidth="1"/>
    <col min="3" max="3" width="46.57421875" style="117" customWidth="1"/>
    <col min="4" max="4" width="12.57421875" style="117" hidden="1" customWidth="1"/>
    <col min="5" max="5" width="14.7109375" style="57" hidden="1" customWidth="1"/>
    <col min="6" max="9" width="14.7109375" style="57" bestFit="1" customWidth="1"/>
    <col min="10" max="11" width="18.00390625" style="57" customWidth="1"/>
    <col min="12" max="16384" width="11.57421875" style="117" customWidth="1"/>
  </cols>
  <sheetData>
    <row r="1" spans="1:11" ht="16.5" customHeight="1">
      <c r="A1" s="2046" t="s">
        <v>1133</v>
      </c>
      <c r="B1" s="2046"/>
      <c r="C1" s="2046"/>
      <c r="D1" s="2046"/>
      <c r="E1" s="2046"/>
      <c r="F1" s="2046"/>
      <c r="G1" s="2046"/>
      <c r="H1" s="2046"/>
      <c r="I1" s="2046"/>
      <c r="J1" s="2046"/>
      <c r="K1" s="2046"/>
    </row>
    <row r="2" spans="1:11" ht="12.75" customHeight="1">
      <c r="A2" s="2044"/>
      <c r="B2" s="2044"/>
      <c r="C2" s="2044"/>
      <c r="D2" s="2044"/>
      <c r="E2" s="2044"/>
      <c r="F2" s="117"/>
      <c r="G2" s="117"/>
      <c r="H2" s="117"/>
      <c r="I2" s="117"/>
      <c r="J2" s="117"/>
      <c r="K2" s="117"/>
    </row>
    <row r="3" spans="1:11" ht="18" customHeight="1">
      <c r="A3" s="2053" t="s">
        <v>623</v>
      </c>
      <c r="B3" s="2053"/>
      <c r="C3" s="2053"/>
      <c r="D3" s="2053"/>
      <c r="E3" s="2053"/>
      <c r="F3" s="2053"/>
      <c r="G3" s="2053"/>
      <c r="H3" s="2053"/>
      <c r="I3" s="2053"/>
      <c r="J3" s="2053"/>
      <c r="K3" s="2053"/>
    </row>
    <row r="4" spans="1:11" ht="24.75" customHeight="1">
      <c r="A4" s="2044" t="s">
        <v>624</v>
      </c>
      <c r="B4" s="2044"/>
      <c r="C4" s="2044"/>
      <c r="D4" s="2044"/>
      <c r="E4" s="2044"/>
      <c r="F4" s="2044"/>
      <c r="G4" s="2044"/>
      <c r="H4" s="2044"/>
      <c r="I4" s="2044"/>
      <c r="J4" s="2044"/>
      <c r="K4" s="2044"/>
    </row>
    <row r="5" spans="1:11" ht="24.75" customHeight="1">
      <c r="A5" s="2044"/>
      <c r="B5" s="2044"/>
      <c r="C5" s="2044"/>
      <c r="D5" s="2044"/>
      <c r="E5" s="2044"/>
      <c r="F5" s="117"/>
      <c r="G5" s="117"/>
      <c r="H5" s="117"/>
      <c r="I5" s="117"/>
      <c r="J5" s="117"/>
      <c r="K5" s="117"/>
    </row>
    <row r="6" spans="1:11" ht="12.75" customHeight="1" thickBot="1">
      <c r="A6" s="2045"/>
      <c r="B6" s="2045"/>
      <c r="C6" s="2045"/>
      <c r="D6" s="443"/>
      <c r="E6" s="1713" t="s">
        <v>219</v>
      </c>
      <c r="F6" s="1713"/>
      <c r="G6" s="1713"/>
      <c r="H6" s="1713"/>
      <c r="I6" s="117"/>
      <c r="J6" s="117"/>
      <c r="K6" s="117"/>
    </row>
    <row r="7" spans="1:11" ht="39" customHeight="1">
      <c r="A7" s="2047" t="s">
        <v>156</v>
      </c>
      <c r="B7" s="2048"/>
      <c r="C7" s="2051" t="s">
        <v>157</v>
      </c>
      <c r="D7" s="2051"/>
      <c r="E7" s="957" t="s">
        <v>158</v>
      </c>
      <c r="F7" s="958" t="s">
        <v>159</v>
      </c>
      <c r="G7" s="958" t="s">
        <v>793</v>
      </c>
      <c r="H7" s="958" t="s">
        <v>803</v>
      </c>
      <c r="I7" s="958" t="s">
        <v>885</v>
      </c>
      <c r="J7" s="958" t="s">
        <v>891</v>
      </c>
      <c r="K7" s="958" t="s">
        <v>947</v>
      </c>
    </row>
    <row r="8" spans="1:11" ht="12.75" customHeight="1" thickBot="1">
      <c r="A8" s="2049"/>
      <c r="B8" s="2050"/>
      <c r="C8" s="2052" t="s">
        <v>161</v>
      </c>
      <c r="D8" s="2052"/>
      <c r="E8" s="959" t="s">
        <v>162</v>
      </c>
      <c r="F8" s="960" t="s">
        <v>163</v>
      </c>
      <c r="G8" s="960" t="s">
        <v>164</v>
      </c>
      <c r="H8" s="960" t="s">
        <v>505</v>
      </c>
      <c r="I8" s="960" t="s">
        <v>525</v>
      </c>
      <c r="J8" s="960" t="s">
        <v>804</v>
      </c>
      <c r="K8" s="960" t="s">
        <v>890</v>
      </c>
    </row>
    <row r="9" spans="1:11" s="166" customFormat="1" ht="12.75" customHeight="1">
      <c r="A9" s="955" t="s">
        <v>38</v>
      </c>
      <c r="B9" s="955" t="s">
        <v>167</v>
      </c>
      <c r="C9" s="956" t="s">
        <v>625</v>
      </c>
      <c r="D9" s="956"/>
      <c r="E9" s="698">
        <f aca="true" t="shared" si="0" ref="E9:J9">SUM(E10:E16)</f>
        <v>108818000</v>
      </c>
      <c r="F9" s="698">
        <f t="shared" si="0"/>
        <v>112115000</v>
      </c>
      <c r="G9" s="698">
        <f t="shared" si="0"/>
        <v>113285704</v>
      </c>
      <c r="H9" s="698">
        <f t="shared" si="0"/>
        <v>113386395</v>
      </c>
      <c r="I9" s="698">
        <f t="shared" si="0"/>
        <v>113386395</v>
      </c>
      <c r="J9" s="698">
        <f t="shared" si="0"/>
        <v>113568016</v>
      </c>
      <c r="K9" s="698">
        <f>SUM(K10:K16)</f>
        <v>117803298</v>
      </c>
    </row>
    <row r="10" spans="1:11" ht="12.75" customHeight="1">
      <c r="A10" s="638" t="s">
        <v>40</v>
      </c>
      <c r="B10" s="638"/>
      <c r="C10" s="2037" t="s">
        <v>168</v>
      </c>
      <c r="D10" s="2037"/>
      <c r="E10" s="645">
        <f>SUM('15. Óvoda'!E8)</f>
        <v>20000</v>
      </c>
      <c r="F10" s="645">
        <f>SUM('15. Óvoda'!F8)</f>
        <v>0</v>
      </c>
      <c r="G10" s="645">
        <f>SUM('15. Óvoda'!G8)</f>
        <v>15000</v>
      </c>
      <c r="H10" s="645">
        <f>SUM('15. Óvoda'!H8)</f>
        <v>15000</v>
      </c>
      <c r="I10" s="645">
        <f>SUM('15. Óvoda'!I8)</f>
        <v>15000</v>
      </c>
      <c r="J10" s="645">
        <f>SUM('15. Óvoda'!J8)</f>
        <v>15000</v>
      </c>
      <c r="K10" s="645">
        <f>SUM('15. Óvoda'!K8)</f>
        <v>65000</v>
      </c>
    </row>
    <row r="11" spans="1:11" ht="12.75" customHeight="1">
      <c r="A11" s="638" t="s">
        <v>47</v>
      </c>
      <c r="B11" s="638"/>
      <c r="C11" s="2037" t="s">
        <v>78</v>
      </c>
      <c r="D11" s="2037"/>
      <c r="E11" s="645">
        <f>SUM('15. Óvoda'!E9)</f>
        <v>1840000</v>
      </c>
      <c r="F11" s="645">
        <f>SUM('15. Óvoda'!F9)</f>
        <v>1840770</v>
      </c>
      <c r="G11" s="645">
        <f>SUM('15. Óvoda'!G9)</f>
        <v>1840770</v>
      </c>
      <c r="H11" s="645">
        <f>SUM('15. Óvoda'!H9)</f>
        <v>1840770</v>
      </c>
      <c r="I11" s="645">
        <f>SUM('15. Óvoda'!I9)</f>
        <v>1840770</v>
      </c>
      <c r="J11" s="645">
        <f>SUM('15. Óvoda'!J9)</f>
        <v>1840770</v>
      </c>
      <c r="K11" s="645">
        <f>SUM('15. Óvoda'!K9)</f>
        <v>1410114</v>
      </c>
    </row>
    <row r="12" spans="1:11" ht="12.75" customHeight="1">
      <c r="A12" s="638" t="s">
        <v>49</v>
      </c>
      <c r="B12" s="638"/>
      <c r="C12" s="1542" t="s">
        <v>951</v>
      </c>
      <c r="D12" s="1542"/>
      <c r="E12" s="645"/>
      <c r="F12" s="645"/>
      <c r="G12" s="645"/>
      <c r="H12" s="645"/>
      <c r="I12" s="645"/>
      <c r="J12" s="645"/>
      <c r="K12" s="645">
        <v>186267</v>
      </c>
    </row>
    <row r="13" spans="1:11" ht="12.75" customHeight="1">
      <c r="A13" s="638" t="s">
        <v>51</v>
      </c>
      <c r="B13" s="638"/>
      <c r="C13" s="2041" t="s">
        <v>230</v>
      </c>
      <c r="D13" s="2041"/>
      <c r="E13" s="645">
        <f>SUM('15. Óvoda'!E17)</f>
        <v>0</v>
      </c>
      <c r="F13" s="645">
        <f>SUM('15. Óvoda'!F17)</f>
        <v>0</v>
      </c>
      <c r="G13" s="645">
        <f>SUM('15. Óvoda'!G17)</f>
        <v>800000</v>
      </c>
      <c r="H13" s="645">
        <f>SUM('15. Óvoda'!H17)</f>
        <v>800000</v>
      </c>
      <c r="I13" s="645">
        <f>SUM('15. Óvoda'!I17)</f>
        <v>800000</v>
      </c>
      <c r="J13" s="645">
        <f>SUM('15. Óvoda'!J17)</f>
        <v>800000</v>
      </c>
      <c r="K13" s="645">
        <f>SUM('15. Óvoda'!K17)</f>
        <v>800000</v>
      </c>
    </row>
    <row r="14" spans="1:11" ht="12.75" customHeight="1">
      <c r="A14" s="638" t="s">
        <v>53</v>
      </c>
      <c r="B14" s="638"/>
      <c r="C14" s="2032" t="s">
        <v>533</v>
      </c>
      <c r="D14" s="2033"/>
      <c r="E14" s="645">
        <f>SUM('15. Óvoda'!E20)</f>
        <v>103649000</v>
      </c>
      <c r="F14" s="645">
        <f>SUM('15. Óvoda'!F20)</f>
        <v>109818500</v>
      </c>
      <c r="G14" s="645">
        <f>SUM('15. Óvoda'!G20)</f>
        <v>110174204</v>
      </c>
      <c r="H14" s="645">
        <f>SUM('15. Óvoda'!H20)</f>
        <v>110274895</v>
      </c>
      <c r="I14" s="645">
        <f>SUM('15. Óvoda'!I20)</f>
        <v>110274895</v>
      </c>
      <c r="J14" s="645">
        <f>SUM('15. Óvoda'!J20)</f>
        <v>110456516</v>
      </c>
      <c r="K14" s="645">
        <f>SUM('15. Óvoda'!K20)</f>
        <v>114886187</v>
      </c>
    </row>
    <row r="15" spans="1:11" ht="12.75" customHeight="1">
      <c r="A15" s="638" t="s">
        <v>55</v>
      </c>
      <c r="B15" s="638"/>
      <c r="C15" s="2041" t="s">
        <v>243</v>
      </c>
      <c r="D15" s="2041"/>
      <c r="E15" s="645">
        <f>SUM('15. Óvoda'!E23)</f>
        <v>3309000</v>
      </c>
      <c r="F15" s="645">
        <f>SUM('15. Óvoda'!F23)</f>
        <v>455730</v>
      </c>
      <c r="G15" s="645">
        <f>SUM('15. Óvoda'!G23)</f>
        <v>455730</v>
      </c>
      <c r="H15" s="645">
        <f>SUM('15. Óvoda'!H23)</f>
        <v>455730</v>
      </c>
      <c r="I15" s="645">
        <f>SUM('15. Óvoda'!I23)</f>
        <v>455730</v>
      </c>
      <c r="J15" s="645">
        <f>SUM('15. Óvoda'!J23)</f>
        <v>455730</v>
      </c>
      <c r="K15" s="645">
        <f>SUM('15. Óvoda'!K23)</f>
        <v>455730</v>
      </c>
    </row>
    <row r="16" spans="1:11" ht="12.75" customHeight="1">
      <c r="A16" s="638" t="s">
        <v>57</v>
      </c>
      <c r="B16" s="638"/>
      <c r="C16" s="2032"/>
      <c r="D16" s="2033"/>
      <c r="E16" s="645"/>
      <c r="F16" s="645"/>
      <c r="G16" s="645"/>
      <c r="H16" s="645"/>
      <c r="I16" s="645"/>
      <c r="J16" s="645"/>
      <c r="K16" s="645"/>
    </row>
    <row r="17" spans="1:11" s="376" customFormat="1" ht="12.75" customHeight="1">
      <c r="A17" s="639" t="s">
        <v>86</v>
      </c>
      <c r="B17" s="952" t="s">
        <v>169</v>
      </c>
      <c r="C17" s="858" t="s">
        <v>810</v>
      </c>
      <c r="D17" s="858"/>
      <c r="E17" s="953">
        <f aca="true" t="shared" si="1" ref="E17:J17">SUM(E18:E20)</f>
        <v>15449000</v>
      </c>
      <c r="F17" s="953">
        <f t="shared" si="1"/>
        <v>18150000</v>
      </c>
      <c r="G17" s="953">
        <f t="shared" si="1"/>
        <v>18150000</v>
      </c>
      <c r="H17" s="953">
        <f t="shared" si="1"/>
        <v>18377882</v>
      </c>
      <c r="I17" s="953">
        <f t="shared" si="1"/>
        <v>18377882</v>
      </c>
      <c r="J17" s="953">
        <f t="shared" si="1"/>
        <v>18585398</v>
      </c>
      <c r="K17" s="953">
        <f>SUM(K18:K20)</f>
        <v>15216808</v>
      </c>
    </row>
    <row r="18" spans="1:11" ht="12.75" customHeight="1">
      <c r="A18" s="638" t="s">
        <v>59</v>
      </c>
      <c r="B18" s="638"/>
      <c r="C18" s="2037" t="s">
        <v>626</v>
      </c>
      <c r="D18" s="2037"/>
      <c r="E18" s="645">
        <f>SUM('16. Műv. ház'!E9)</f>
        <v>300000</v>
      </c>
      <c r="F18" s="645">
        <f>SUM('16. Műv. ház'!F9)</f>
        <v>299993</v>
      </c>
      <c r="G18" s="645">
        <f>SUM('16. Műv. ház'!G9)</f>
        <v>299993</v>
      </c>
      <c r="H18" s="645">
        <f>SUM('16. Műv. ház'!H9)</f>
        <v>299993</v>
      </c>
      <c r="I18" s="645">
        <f>SUM('16. Műv. ház'!I9)</f>
        <v>299993</v>
      </c>
      <c r="J18" s="645">
        <f>SUM('16. Műv. ház'!J9)</f>
        <v>402100</v>
      </c>
      <c r="K18" s="645">
        <f>SUM('16. Műv. ház'!K9)</f>
        <v>508048</v>
      </c>
    </row>
    <row r="19" spans="1:11" ht="12.75" customHeight="1">
      <c r="A19" s="638" t="s">
        <v>61</v>
      </c>
      <c r="B19" s="638"/>
      <c r="C19" s="2041" t="s">
        <v>533</v>
      </c>
      <c r="D19" s="2041"/>
      <c r="E19" s="645">
        <f>SUM('16. Műv. ház'!E14)</f>
        <v>14819000</v>
      </c>
      <c r="F19" s="645">
        <f>SUM('16. Műv. ház'!F14)</f>
        <v>17525000</v>
      </c>
      <c r="G19" s="645">
        <f>SUM('16. Műv. ház'!G14)</f>
        <v>17525000</v>
      </c>
      <c r="H19" s="645">
        <f>SUM('16. Műv. ház'!H14)</f>
        <v>17752882</v>
      </c>
      <c r="I19" s="645">
        <f>SUM('16. Műv. ház'!I14)</f>
        <v>17752882</v>
      </c>
      <c r="J19" s="645">
        <f>SUM('16. Műv. ház'!J14)</f>
        <v>17858291</v>
      </c>
      <c r="K19" s="645">
        <f>SUM('16. Műv. ház'!K14)</f>
        <v>14383753</v>
      </c>
    </row>
    <row r="20" spans="1:11" ht="12.75" customHeight="1">
      <c r="A20" s="638" t="s">
        <v>63</v>
      </c>
      <c r="B20" s="638"/>
      <c r="C20" s="2041" t="s">
        <v>243</v>
      </c>
      <c r="D20" s="2041"/>
      <c r="E20" s="645">
        <f>SUM('16. Műv. ház'!E17)</f>
        <v>330000</v>
      </c>
      <c r="F20" s="645">
        <f>SUM('16. Műv. ház'!F17)</f>
        <v>325007</v>
      </c>
      <c r="G20" s="645">
        <f>SUM('16. Műv. ház'!G17)</f>
        <v>325007</v>
      </c>
      <c r="H20" s="645">
        <f>SUM('16. Műv. ház'!H17)</f>
        <v>325007</v>
      </c>
      <c r="I20" s="645">
        <f>SUM('16. Műv. ház'!I17)</f>
        <v>325007</v>
      </c>
      <c r="J20" s="645">
        <f>SUM('16. Műv. ház'!J17)</f>
        <v>325007</v>
      </c>
      <c r="K20" s="645">
        <f>SUM('16. Műv. ház'!K17)</f>
        <v>325007</v>
      </c>
    </row>
    <row r="21" spans="1:11" ht="12.75" customHeight="1">
      <c r="A21" s="638" t="s">
        <v>65</v>
      </c>
      <c r="B21" s="638"/>
      <c r="C21" s="2032"/>
      <c r="D21" s="2033"/>
      <c r="E21" s="645"/>
      <c r="F21" s="645"/>
      <c r="G21" s="645"/>
      <c r="H21" s="645"/>
      <c r="I21" s="645"/>
      <c r="J21" s="645"/>
      <c r="K21" s="645"/>
    </row>
    <row r="22" spans="1:11" s="376" customFormat="1" ht="12.75" customHeight="1">
      <c r="A22" s="639" t="s">
        <v>92</v>
      </c>
      <c r="B22" s="952" t="s">
        <v>176</v>
      </c>
      <c r="C22" s="2034" t="s">
        <v>327</v>
      </c>
      <c r="D22" s="2035"/>
      <c r="E22" s="953">
        <f aca="true" t="shared" si="2" ref="E22:J22">SUM(E23:E26)</f>
        <v>76902000</v>
      </c>
      <c r="F22" s="953">
        <f t="shared" si="2"/>
        <v>86703000</v>
      </c>
      <c r="G22" s="953">
        <f t="shared" si="2"/>
        <v>86703000</v>
      </c>
      <c r="H22" s="953">
        <f t="shared" si="2"/>
        <v>86719510</v>
      </c>
      <c r="I22" s="953">
        <f t="shared" si="2"/>
        <v>86719510</v>
      </c>
      <c r="J22" s="953">
        <f t="shared" si="2"/>
        <v>86719510</v>
      </c>
      <c r="K22" s="953">
        <f>SUM(K23:K26)</f>
        <v>80440449</v>
      </c>
    </row>
    <row r="23" spans="1:11" ht="12.75" customHeight="1">
      <c r="A23" s="638" t="s">
        <v>66</v>
      </c>
      <c r="B23" s="638"/>
      <c r="C23" s="2037" t="s">
        <v>626</v>
      </c>
      <c r="D23" s="2037"/>
      <c r="E23" s="645">
        <f>SUM('17. Hivatal'!E10)</f>
        <v>796000</v>
      </c>
      <c r="F23" s="645">
        <f>SUM('17. Hivatal'!F10)</f>
        <v>480369</v>
      </c>
      <c r="G23" s="645">
        <f>SUM('17. Hivatal'!G10)</f>
        <v>480369</v>
      </c>
      <c r="H23" s="645">
        <f>SUM('17. Hivatal'!H10)</f>
        <v>480369</v>
      </c>
      <c r="I23" s="645">
        <f>SUM('17. Hivatal'!I10)</f>
        <v>480369</v>
      </c>
      <c r="J23" s="645">
        <f>SUM('17. Hivatal'!J10)</f>
        <v>480369</v>
      </c>
      <c r="K23" s="645">
        <f>SUM('17. Hivatal'!K10)</f>
        <v>1057836</v>
      </c>
    </row>
    <row r="24" spans="1:11" ht="12.75" customHeight="1">
      <c r="A24" s="638" t="s">
        <v>67</v>
      </c>
      <c r="B24" s="638"/>
      <c r="C24" s="2037" t="s">
        <v>189</v>
      </c>
      <c r="D24" s="2037"/>
      <c r="E24" s="645">
        <v>951000</v>
      </c>
      <c r="F24" s="645">
        <f>SUM('17. Hivatal'!F11)</f>
        <v>0</v>
      </c>
      <c r="G24" s="645">
        <v>0</v>
      </c>
      <c r="H24" s="645">
        <v>0</v>
      </c>
      <c r="I24" s="645">
        <v>0</v>
      </c>
      <c r="J24" s="645">
        <v>0</v>
      </c>
      <c r="K24" s="645">
        <v>0</v>
      </c>
    </row>
    <row r="25" spans="1:11" ht="12.75" customHeight="1">
      <c r="A25" s="638" t="s">
        <v>68</v>
      </c>
      <c r="B25" s="638"/>
      <c r="C25" s="2041" t="s">
        <v>533</v>
      </c>
      <c r="D25" s="2041"/>
      <c r="E25" s="645">
        <f>SUM('17. Hivatal'!E19)</f>
        <v>72748000</v>
      </c>
      <c r="F25" s="645">
        <f>SUM('17. Hivatal'!F19)</f>
        <v>84263000</v>
      </c>
      <c r="G25" s="645">
        <f>SUM('17. Hivatal'!G19)</f>
        <v>84263000</v>
      </c>
      <c r="H25" s="645">
        <f>SUM('17. Hivatal'!H19)</f>
        <v>84279510</v>
      </c>
      <c r="I25" s="645">
        <f>SUM('17. Hivatal'!I19)</f>
        <v>84279510</v>
      </c>
      <c r="J25" s="645">
        <f>SUM('17. Hivatal'!J19)</f>
        <v>84279510</v>
      </c>
      <c r="K25" s="645">
        <f>SUM('17. Hivatal'!K19)</f>
        <v>77422982</v>
      </c>
    </row>
    <row r="26" spans="1:11" ht="12.75" customHeight="1">
      <c r="A26" s="638" t="s">
        <v>70</v>
      </c>
      <c r="B26" s="638"/>
      <c r="C26" s="2041" t="s">
        <v>243</v>
      </c>
      <c r="D26" s="2041"/>
      <c r="E26" s="645">
        <f>SUM('17. Hivatal'!E18)</f>
        <v>2407000</v>
      </c>
      <c r="F26" s="645">
        <f>SUM('17. Hivatal'!F18)</f>
        <v>1959631</v>
      </c>
      <c r="G26" s="645">
        <f>SUM('17. Hivatal'!G18)</f>
        <v>1959631</v>
      </c>
      <c r="H26" s="645">
        <f>SUM('17. Hivatal'!H18)</f>
        <v>1959631</v>
      </c>
      <c r="I26" s="645">
        <f>SUM('17. Hivatal'!I18)</f>
        <v>1959631</v>
      </c>
      <c r="J26" s="645">
        <f>SUM('17. Hivatal'!J18)</f>
        <v>1959631</v>
      </c>
      <c r="K26" s="645">
        <f>SUM('17. Hivatal'!K18)</f>
        <v>1959631</v>
      </c>
    </row>
    <row r="27" spans="1:11" ht="12.75" customHeight="1">
      <c r="A27" s="638" t="s">
        <v>97</v>
      </c>
      <c r="B27" s="638"/>
      <c r="C27" s="2032"/>
      <c r="D27" s="2033"/>
      <c r="E27" s="645"/>
      <c r="F27" s="645"/>
      <c r="G27" s="645"/>
      <c r="H27" s="645"/>
      <c r="I27" s="645"/>
      <c r="J27" s="645"/>
      <c r="K27" s="645"/>
    </row>
    <row r="28" spans="1:11" s="166" customFormat="1" ht="12.75" customHeight="1">
      <c r="A28" s="639" t="s">
        <v>99</v>
      </c>
      <c r="B28" s="639" t="s">
        <v>186</v>
      </c>
      <c r="C28" s="2030" t="s">
        <v>627</v>
      </c>
      <c r="D28" s="2031"/>
      <c r="E28" s="662">
        <f>SUM(E30:E32)</f>
        <v>108076000</v>
      </c>
      <c r="F28" s="662">
        <f>SUM(F30:F32)</f>
        <v>94122000</v>
      </c>
      <c r="G28" s="662">
        <f>SUM(G30:G32)</f>
        <v>89518407</v>
      </c>
      <c r="H28" s="662">
        <f>SUM(H30:H32)</f>
        <v>89774063</v>
      </c>
      <c r="I28" s="662">
        <f>SUM(I30:I32)</f>
        <v>89774063</v>
      </c>
      <c r="J28" s="662">
        <f>SUM(J29:J32)</f>
        <v>90731054</v>
      </c>
      <c r="K28" s="662">
        <f>SUM(K29:K32)</f>
        <v>88180563</v>
      </c>
    </row>
    <row r="29" spans="1:11" ht="12.75" customHeight="1">
      <c r="A29" s="638" t="s">
        <v>101</v>
      </c>
      <c r="B29" s="638"/>
      <c r="C29" s="1391" t="s">
        <v>168</v>
      </c>
      <c r="D29" s="1392"/>
      <c r="E29" s="954">
        <v>0</v>
      </c>
      <c r="F29" s="954">
        <v>0</v>
      </c>
      <c r="G29" s="954">
        <v>0</v>
      </c>
      <c r="H29" s="954">
        <v>0</v>
      </c>
      <c r="I29" s="954">
        <v>0</v>
      </c>
      <c r="J29" s="954">
        <v>907459</v>
      </c>
      <c r="K29" s="954">
        <v>907459</v>
      </c>
    </row>
    <row r="30" spans="1:11" ht="12.75" customHeight="1">
      <c r="A30" s="638" t="s">
        <v>103</v>
      </c>
      <c r="B30" s="638"/>
      <c r="C30" s="2037" t="s">
        <v>626</v>
      </c>
      <c r="D30" s="2037"/>
      <c r="E30" s="645">
        <f>SUM('18. VÜKI'!E12)</f>
        <v>19500000</v>
      </c>
      <c r="F30" s="645">
        <f>SUM('18. VÜKI'!F12)</f>
        <v>21270192</v>
      </c>
      <c r="G30" s="645">
        <f>SUM('18. VÜKI'!G12)</f>
        <v>21270192</v>
      </c>
      <c r="H30" s="645">
        <f>SUM('18. VÜKI'!H12)</f>
        <v>21270192</v>
      </c>
      <c r="I30" s="645">
        <f>SUM('18. VÜKI'!I12)</f>
        <v>21270192</v>
      </c>
      <c r="J30" s="645">
        <f>SUM('18. VÜKI'!J12)</f>
        <v>21270192</v>
      </c>
      <c r="K30" s="645">
        <f>SUM('18. VÜKI'!K12)</f>
        <v>20650698</v>
      </c>
    </row>
    <row r="31" spans="1:11" ht="12.75" customHeight="1">
      <c r="A31" s="638" t="s">
        <v>105</v>
      </c>
      <c r="B31" s="638"/>
      <c r="C31" s="2039" t="s">
        <v>533</v>
      </c>
      <c r="D31" s="2040"/>
      <c r="E31" s="645">
        <f>SUM('18. VÜKI'!E21)</f>
        <v>85529000</v>
      </c>
      <c r="F31" s="645">
        <f>SUM('18. VÜKI'!F21)</f>
        <v>69752735</v>
      </c>
      <c r="G31" s="645">
        <f>SUM('18. VÜKI'!G21)</f>
        <v>65149142</v>
      </c>
      <c r="H31" s="645">
        <f>SUM('18. VÜKI'!H21)</f>
        <v>65404798</v>
      </c>
      <c r="I31" s="645">
        <f>SUM('18. VÜKI'!I21)</f>
        <v>65404798</v>
      </c>
      <c r="J31" s="645">
        <f>SUM('18. VÜKI'!J21)</f>
        <v>65454330</v>
      </c>
      <c r="K31" s="645">
        <f>SUM('18. VÜKI'!K21)</f>
        <v>63523333</v>
      </c>
    </row>
    <row r="32" spans="1:11" ht="12.75" customHeight="1">
      <c r="A32" s="638" t="s">
        <v>107</v>
      </c>
      <c r="B32" s="638"/>
      <c r="C32" s="2032" t="s">
        <v>243</v>
      </c>
      <c r="D32" s="2033"/>
      <c r="E32" s="645">
        <f>SUM('18. VÜKI'!E20)</f>
        <v>3047000</v>
      </c>
      <c r="F32" s="645">
        <f>SUM('18. VÜKI'!F20)</f>
        <v>3099073</v>
      </c>
      <c r="G32" s="645">
        <f>SUM('18. VÜKI'!G20)</f>
        <v>3099073</v>
      </c>
      <c r="H32" s="645">
        <f>SUM('18. VÜKI'!H20)</f>
        <v>3099073</v>
      </c>
      <c r="I32" s="645">
        <f>SUM('18. VÜKI'!I20)</f>
        <v>3099073</v>
      </c>
      <c r="J32" s="645">
        <f>SUM('18. VÜKI'!J20)</f>
        <v>3099073</v>
      </c>
      <c r="K32" s="645">
        <f>SUM('18. VÜKI'!K20)</f>
        <v>3099073</v>
      </c>
    </row>
    <row r="33" spans="1:11" ht="12.75" customHeight="1">
      <c r="A33" s="638" t="s">
        <v>109</v>
      </c>
      <c r="B33" s="638"/>
      <c r="C33" s="2032"/>
      <c r="D33" s="2033"/>
      <c r="E33" s="645"/>
      <c r="F33" s="645"/>
      <c r="G33" s="645"/>
      <c r="H33" s="645"/>
      <c r="I33" s="645"/>
      <c r="J33" s="645"/>
      <c r="K33" s="645"/>
    </row>
    <row r="34" spans="1:11" ht="12.75" customHeight="1">
      <c r="A34" s="639" t="s">
        <v>111</v>
      </c>
      <c r="B34" s="639" t="s">
        <v>187</v>
      </c>
      <c r="C34" s="2030" t="s">
        <v>240</v>
      </c>
      <c r="D34" s="2031"/>
      <c r="E34" s="662">
        <f aca="true" t="shared" si="3" ref="E34:J34">SUM(E35:E44)</f>
        <v>657710000</v>
      </c>
      <c r="F34" s="662">
        <f t="shared" si="3"/>
        <v>457207000</v>
      </c>
      <c r="G34" s="662">
        <f t="shared" si="3"/>
        <v>460709476</v>
      </c>
      <c r="H34" s="662">
        <f t="shared" si="3"/>
        <v>464516008</v>
      </c>
      <c r="I34" s="662">
        <f t="shared" si="3"/>
        <v>464516008</v>
      </c>
      <c r="J34" s="662">
        <f t="shared" si="3"/>
        <v>832692759</v>
      </c>
      <c r="K34" s="662">
        <f>SUM(K35:K44)</f>
        <v>1168351032</v>
      </c>
    </row>
    <row r="35" spans="1:11" ht="29.25" customHeight="1">
      <c r="A35" s="950" t="s">
        <v>113</v>
      </c>
      <c r="B35" s="638"/>
      <c r="C35" s="2038" t="s">
        <v>168</v>
      </c>
      <c r="D35" s="2038"/>
      <c r="E35" s="645">
        <f>SUM('19 önkormányzat'!E21)</f>
        <v>229645000</v>
      </c>
      <c r="F35" s="645">
        <f>SUM('19 önkormányzat'!F21)</f>
        <v>197812079</v>
      </c>
      <c r="G35" s="645">
        <f>SUM('19 önkormányzat'!G21)</f>
        <v>196544252</v>
      </c>
      <c r="H35" s="645">
        <f>SUM('19 önkormányzat'!H21)</f>
        <v>199107851</v>
      </c>
      <c r="I35" s="645">
        <f>SUM('19 önkormányzat'!I21)</f>
        <v>199107851</v>
      </c>
      <c r="J35" s="645">
        <f>SUM('19 önkormányzat'!J21)</f>
        <v>236668621</v>
      </c>
      <c r="K35" s="645">
        <f>SUM('19 önkormányzat'!K21)</f>
        <v>330561724</v>
      </c>
    </row>
    <row r="36" spans="1:11" ht="12.75" customHeight="1">
      <c r="A36" s="950" t="s">
        <v>115</v>
      </c>
      <c r="B36" s="638"/>
      <c r="C36" s="2037" t="s">
        <v>170</v>
      </c>
      <c r="D36" s="2037"/>
      <c r="E36" s="954">
        <f>SUM('19 önkormányzat'!E25)</f>
        <v>80000000</v>
      </c>
      <c r="F36" s="645">
        <f>SUM('19 önkormányzat'!F25)</f>
        <v>0</v>
      </c>
      <c r="G36" s="645">
        <f>SUM('19 önkormányzat'!G25)</f>
        <v>0</v>
      </c>
      <c r="H36" s="645">
        <f>SUM('19 önkormányzat'!H25)</f>
        <v>0</v>
      </c>
      <c r="I36" s="645">
        <f>SUM('19 önkormányzat'!I25)</f>
        <v>0</v>
      </c>
      <c r="J36" s="645">
        <f>SUM('19 önkormányzat'!J25)</f>
        <v>333740979</v>
      </c>
      <c r="K36" s="645">
        <f>SUM('19 önkormányzat'!K25)</f>
        <v>579188024</v>
      </c>
    </row>
    <row r="37" spans="1:11" ht="12.75" customHeight="1">
      <c r="A37" s="950" t="s">
        <v>117</v>
      </c>
      <c r="B37" s="638"/>
      <c r="C37" s="2037" t="s">
        <v>177</v>
      </c>
      <c r="D37" s="2037"/>
      <c r="E37" s="954">
        <f>SUM('19 önkormányzat'!E31)</f>
        <v>149880000</v>
      </c>
      <c r="F37" s="645">
        <f>SUM('19 önkormányzat'!F31)</f>
        <v>150155000</v>
      </c>
      <c r="G37" s="645">
        <f>SUM('19 önkormányzat'!G31)</f>
        <v>150155000</v>
      </c>
      <c r="H37" s="645">
        <f>SUM('19 önkormányzat'!H31)</f>
        <v>150155000</v>
      </c>
      <c r="I37" s="645">
        <f>SUM('19 önkormányzat'!I31)</f>
        <v>150155000</v>
      </c>
      <c r="J37" s="645">
        <f>SUM('19 önkormányzat'!J31)</f>
        <v>150455000</v>
      </c>
      <c r="K37" s="645">
        <f>SUM('19 önkormányzat'!K31)</f>
        <v>171345614</v>
      </c>
    </row>
    <row r="38" spans="1:11" ht="30" customHeight="1">
      <c r="A38" s="950" t="s">
        <v>118</v>
      </c>
      <c r="B38" s="638"/>
      <c r="C38" s="2037" t="s">
        <v>78</v>
      </c>
      <c r="D38" s="2037"/>
      <c r="E38" s="954">
        <f>SUM('19 önkormányzat'!E40)</f>
        <v>19318000</v>
      </c>
      <c r="F38" s="645">
        <f>SUM('19 önkormányzat'!F40)</f>
        <v>16382585</v>
      </c>
      <c r="G38" s="645">
        <f>SUM('19 önkormányzat'!G40)</f>
        <v>19130585</v>
      </c>
      <c r="H38" s="645">
        <f>SUM('19 önkormányzat'!H40)</f>
        <v>19130585</v>
      </c>
      <c r="I38" s="645">
        <f>SUM('19 önkormányzat'!I40)</f>
        <v>19130585</v>
      </c>
      <c r="J38" s="645">
        <f>SUM('19 önkormányzat'!J40)</f>
        <v>19026837</v>
      </c>
      <c r="K38" s="645">
        <f>SUM('19 önkormányzat'!K40)</f>
        <v>19880656</v>
      </c>
    </row>
    <row r="39" spans="1:11" ht="42" customHeight="1">
      <c r="A39" s="950" t="s">
        <v>120</v>
      </c>
      <c r="B39" s="638"/>
      <c r="C39" s="2037" t="s">
        <v>13</v>
      </c>
      <c r="D39" s="2037"/>
      <c r="E39" s="954">
        <f>SUM('19 önkormányzat'!E41)</f>
        <v>41468000</v>
      </c>
      <c r="F39" s="645">
        <f>SUM('19 önkormányzat'!F41)</f>
        <v>40639830</v>
      </c>
      <c r="G39" s="645">
        <f>SUM('19 önkormányzat'!G41)</f>
        <v>40639830</v>
      </c>
      <c r="H39" s="645">
        <f>SUM('19 önkormányzat'!H41)</f>
        <v>40639830</v>
      </c>
      <c r="I39" s="645">
        <f>SUM('19 önkormányzat'!I41)</f>
        <v>40639830</v>
      </c>
      <c r="J39" s="645">
        <f>SUM('19 önkormányzat'!J41)</f>
        <v>35985235</v>
      </c>
      <c r="K39" s="645">
        <f>SUM('19 önkormányzat'!K41)</f>
        <v>9136370</v>
      </c>
    </row>
    <row r="40" spans="1:11" ht="12.75" customHeight="1">
      <c r="A40" s="950" t="s">
        <v>122</v>
      </c>
      <c r="B40" s="638"/>
      <c r="C40" s="2037" t="s">
        <v>189</v>
      </c>
      <c r="D40" s="2037"/>
      <c r="E40" s="954">
        <f>SUM('19 önkormányzat'!E44)</f>
        <v>907000</v>
      </c>
      <c r="F40" s="645">
        <f>SUM('19 önkormányzat'!F44)</f>
        <v>0</v>
      </c>
      <c r="G40" s="645">
        <f>SUM('19 önkormányzat'!G44)</f>
        <v>200000</v>
      </c>
      <c r="H40" s="645">
        <f>SUM('19 önkormányzat'!H44)</f>
        <v>685800</v>
      </c>
      <c r="I40" s="645">
        <f>SUM('19 önkormányzat'!I44)</f>
        <v>685800</v>
      </c>
      <c r="J40" s="645">
        <f>SUM('19 önkormányzat'!J44)</f>
        <v>1048138</v>
      </c>
      <c r="K40" s="645">
        <f>SUM('19 önkormányzat'!K44)</f>
        <v>1320741</v>
      </c>
    </row>
    <row r="41" spans="1:11" ht="12.75" customHeight="1">
      <c r="A41" s="950" t="s">
        <v>124</v>
      </c>
      <c r="B41" s="638"/>
      <c r="C41" s="2037" t="s">
        <v>191</v>
      </c>
      <c r="D41" s="2037"/>
      <c r="E41" s="954">
        <f>SUM('19 önkormányzat'!E47)</f>
        <v>1273000</v>
      </c>
      <c r="F41" s="645">
        <f>SUM('19 önkormányzat'!F47)</f>
        <v>0</v>
      </c>
      <c r="G41" s="645">
        <f>SUM('19 önkormányzat'!G47)</f>
        <v>0</v>
      </c>
      <c r="H41" s="645">
        <f>SUM('19 önkormányzat'!H47)</f>
        <v>0</v>
      </c>
      <c r="I41" s="645">
        <f>SUM('19 önkormányzat'!I47)</f>
        <v>0</v>
      </c>
      <c r="J41" s="645">
        <f>SUM('19 önkormányzat'!J47)</f>
        <v>0</v>
      </c>
      <c r="K41" s="645">
        <f>SUM('19 önkormányzat'!K47)</f>
        <v>0</v>
      </c>
    </row>
    <row r="42" spans="1:11" ht="12.75" customHeight="1">
      <c r="A42" s="950" t="s">
        <v>126</v>
      </c>
      <c r="B42" s="638"/>
      <c r="C42" s="2037" t="s">
        <v>727</v>
      </c>
      <c r="D42" s="2037"/>
      <c r="E42" s="954">
        <f>SUM('19 önkormányzat'!E49)</f>
        <v>80000000</v>
      </c>
      <c r="F42" s="645">
        <f>SUM('19 önkormányzat'!F49)</f>
        <v>0</v>
      </c>
      <c r="G42" s="645">
        <f>SUM('19 önkormányzat'!G49)</f>
        <v>0</v>
      </c>
      <c r="H42" s="645">
        <f>SUM('19 önkormányzat'!H49)</f>
        <v>0</v>
      </c>
      <c r="I42" s="645">
        <f>SUM('19 önkormányzat'!I49)</f>
        <v>0</v>
      </c>
      <c r="J42" s="645">
        <f>SUM('19 önkormányzat'!J49)</f>
        <v>0</v>
      </c>
      <c r="K42" s="645">
        <f>SUM('19 önkormányzat'!K49)</f>
        <v>0</v>
      </c>
    </row>
    <row r="43" spans="1:11" ht="12.75" customHeight="1">
      <c r="A43" s="950" t="s">
        <v>128</v>
      </c>
      <c r="B43" s="638"/>
      <c r="C43" s="2037" t="s">
        <v>225</v>
      </c>
      <c r="D43" s="2037"/>
      <c r="E43" s="954">
        <f>SUM('19 önkormányzat'!E50)</f>
        <v>51066000</v>
      </c>
      <c r="F43" s="645">
        <f>SUM('19 önkormányzat'!F50)</f>
        <v>45816229</v>
      </c>
      <c r="G43" s="645">
        <f>SUM('19 önkormányzat'!G50)</f>
        <v>46294271</v>
      </c>
      <c r="H43" s="645">
        <f>SUM('19 önkormányzat'!H50)</f>
        <v>46294271</v>
      </c>
      <c r="I43" s="645">
        <f>SUM('19 önkormányzat'!I50)</f>
        <v>46294271</v>
      </c>
      <c r="J43" s="645">
        <f>SUM('19 önkormányzat'!J50)</f>
        <v>46294271</v>
      </c>
      <c r="K43" s="645">
        <f>SUM('19 önkormányzat'!K50)</f>
        <v>46294271</v>
      </c>
    </row>
    <row r="44" spans="1:11" ht="12.75" customHeight="1">
      <c r="A44" s="950" t="s">
        <v>130</v>
      </c>
      <c r="B44" s="638"/>
      <c r="C44" s="2037" t="s">
        <v>228</v>
      </c>
      <c r="D44" s="2037"/>
      <c r="E44" s="954">
        <f>SUM('19 önkormányzat'!E53)</f>
        <v>4153000</v>
      </c>
      <c r="F44" s="645">
        <f>SUM('19 önkormányzat'!F53)</f>
        <v>6401277</v>
      </c>
      <c r="G44" s="645">
        <f>SUM('19 önkormányzat'!G53)</f>
        <v>7745538</v>
      </c>
      <c r="H44" s="645">
        <f>SUM('19 önkormányzat'!H53)</f>
        <v>8502671</v>
      </c>
      <c r="I44" s="645">
        <f>SUM('19 önkormányzat'!I53)</f>
        <v>8502671</v>
      </c>
      <c r="J44" s="645">
        <f>SUM('19 önkormányzat'!J53)</f>
        <v>9473678</v>
      </c>
      <c r="K44" s="645">
        <f>SUM('19 önkormányzat'!K53)</f>
        <v>10623632</v>
      </c>
    </row>
    <row r="45" spans="1:11" ht="12.75" customHeight="1" thickBot="1">
      <c r="A45" s="961" t="s">
        <v>131</v>
      </c>
      <c r="B45" s="899"/>
      <c r="C45" s="2036" t="s">
        <v>533</v>
      </c>
      <c r="D45" s="2036"/>
      <c r="E45" s="962">
        <v>-276745000</v>
      </c>
      <c r="F45" s="962">
        <f aca="true" t="shared" si="4" ref="F45:K45">SUM(-F14-F19)-F25-F31</f>
        <v>-281359235</v>
      </c>
      <c r="G45" s="962">
        <f t="shared" si="4"/>
        <v>-277111346</v>
      </c>
      <c r="H45" s="962">
        <f t="shared" si="4"/>
        <v>-277712085</v>
      </c>
      <c r="I45" s="962">
        <f t="shared" si="4"/>
        <v>-277712085</v>
      </c>
      <c r="J45" s="962">
        <f t="shared" si="4"/>
        <v>-278048647</v>
      </c>
      <c r="K45" s="962">
        <f t="shared" si="4"/>
        <v>-270216255</v>
      </c>
    </row>
    <row r="46" spans="1:11" s="166" customFormat="1" ht="12.75" customHeight="1" thickBot="1">
      <c r="A46" s="963" t="s">
        <v>133</v>
      </c>
      <c r="B46" s="964"/>
      <c r="C46" s="2028" t="s">
        <v>116</v>
      </c>
      <c r="D46" s="2029"/>
      <c r="E46" s="965">
        <f aca="true" t="shared" si="5" ref="E46:J46">SUM(E9+E17+E22+E28+E34)+E45</f>
        <v>690210000</v>
      </c>
      <c r="F46" s="966">
        <f t="shared" si="5"/>
        <v>486937765</v>
      </c>
      <c r="G46" s="966">
        <f t="shared" si="5"/>
        <v>491255241</v>
      </c>
      <c r="H46" s="966">
        <f t="shared" si="5"/>
        <v>495061773</v>
      </c>
      <c r="I46" s="966">
        <f t="shared" si="5"/>
        <v>495061773</v>
      </c>
      <c r="J46" s="966">
        <f t="shared" si="5"/>
        <v>864248090</v>
      </c>
      <c r="K46" s="966">
        <f>SUM(K9+K17+K22+K28+K34)+K45</f>
        <v>1199775895</v>
      </c>
    </row>
    <row r="47" spans="1:11" ht="12.75" customHeight="1" thickBot="1">
      <c r="A47" s="2025"/>
      <c r="B47" s="2026"/>
      <c r="C47" s="2026"/>
      <c r="D47" s="2026"/>
      <c r="E47" s="2026"/>
      <c r="F47" s="2027"/>
      <c r="G47" s="117"/>
      <c r="H47" s="117"/>
      <c r="I47" s="117"/>
      <c r="J47" s="117"/>
      <c r="K47" s="117"/>
    </row>
    <row r="48" spans="1:11" ht="33.75" customHeight="1" thickBot="1">
      <c r="A48" s="2042" t="s">
        <v>156</v>
      </c>
      <c r="B48" s="2042"/>
      <c r="C48" s="951" t="s">
        <v>628</v>
      </c>
      <c r="D48" s="951" t="s">
        <v>547</v>
      </c>
      <c r="E48" s="951" t="s">
        <v>158</v>
      </c>
      <c r="F48" s="951" t="s">
        <v>159</v>
      </c>
      <c r="G48" s="958" t="s">
        <v>793</v>
      </c>
      <c r="H48" s="958" t="s">
        <v>803</v>
      </c>
      <c r="I48" s="958" t="s">
        <v>885</v>
      </c>
      <c r="J48" s="958" t="s">
        <v>891</v>
      </c>
      <c r="K48" s="958" t="s">
        <v>947</v>
      </c>
    </row>
    <row r="49" spans="1:11" ht="12.75" customHeight="1" thickBot="1" thickTop="1">
      <c r="A49" s="2043"/>
      <c r="B49" s="2043"/>
      <c r="C49" s="447" t="s">
        <v>161</v>
      </c>
      <c r="D49" s="447" t="s">
        <v>162</v>
      </c>
      <c r="E49" s="448" t="s">
        <v>163</v>
      </c>
      <c r="F49" s="448" t="s">
        <v>164</v>
      </c>
      <c r="G49" s="448" t="s">
        <v>505</v>
      </c>
      <c r="H49" s="448" t="s">
        <v>525</v>
      </c>
      <c r="I49" s="448" t="s">
        <v>804</v>
      </c>
      <c r="J49" s="448" t="s">
        <v>890</v>
      </c>
      <c r="K49" s="448" t="s">
        <v>895</v>
      </c>
    </row>
    <row r="50" spans="1:11" ht="24.75" customHeight="1" thickTop="1">
      <c r="A50" s="175" t="s">
        <v>38</v>
      </c>
      <c r="B50" s="293" t="s">
        <v>167</v>
      </c>
      <c r="C50" s="106" t="s">
        <v>247</v>
      </c>
      <c r="D50" s="294">
        <f>'15. Óvoda'!D64</f>
        <v>26</v>
      </c>
      <c r="E50" s="401">
        <f aca="true" t="shared" si="6" ref="E50:J50">SUM(E51:E54)</f>
        <v>108818000</v>
      </c>
      <c r="F50" s="401">
        <f t="shared" si="6"/>
        <v>112115000</v>
      </c>
      <c r="G50" s="401">
        <f t="shared" si="6"/>
        <v>113285704</v>
      </c>
      <c r="H50" s="401">
        <f t="shared" si="6"/>
        <v>113386395</v>
      </c>
      <c r="I50" s="401">
        <f t="shared" si="6"/>
        <v>113386395</v>
      </c>
      <c r="J50" s="401">
        <f t="shared" si="6"/>
        <v>113568016</v>
      </c>
      <c r="K50" s="401">
        <f>SUM(K51:K54)</f>
        <v>117803298</v>
      </c>
    </row>
    <row r="51" spans="1:11" ht="12.75" customHeight="1">
      <c r="A51" s="180" t="s">
        <v>40</v>
      </c>
      <c r="B51" s="296"/>
      <c r="C51" s="147" t="str">
        <f>'15. Óvoda'!C65</f>
        <v>Ebből: Személyi juttatás</v>
      </c>
      <c r="D51" s="147"/>
      <c r="E51" s="97">
        <f>SUM('15. Óvoda'!E65)</f>
        <v>67533000</v>
      </c>
      <c r="F51" s="97">
        <f>SUM('15. Óvoda'!F65)</f>
        <v>75291000</v>
      </c>
      <c r="G51" s="97">
        <f>SUM('15. Óvoda'!G65)</f>
        <v>75484200</v>
      </c>
      <c r="H51" s="97">
        <f>SUM('15. Óvoda'!H65)</f>
        <v>75566734</v>
      </c>
      <c r="I51" s="97">
        <f>SUM('15. Óvoda'!I65)</f>
        <v>75566734</v>
      </c>
      <c r="J51" s="97">
        <f>SUM('15. Óvoda'!J65)</f>
        <v>75715604</v>
      </c>
      <c r="K51" s="97">
        <f>SUM('15. Óvoda'!K65)</f>
        <v>75126605</v>
      </c>
    </row>
    <row r="52" spans="1:11" ht="12.75" customHeight="1">
      <c r="A52" s="180" t="s">
        <v>47</v>
      </c>
      <c r="B52" s="296"/>
      <c r="C52" s="147" t="str">
        <f>'15. Óvoda'!C66</f>
        <v>          Járulékok</v>
      </c>
      <c r="D52" s="147"/>
      <c r="E52" s="97">
        <f>SUM('15. Óvoda'!E66)</f>
        <v>17441000</v>
      </c>
      <c r="F52" s="97">
        <f>SUM('15. Óvoda'!F66)</f>
        <v>17019000</v>
      </c>
      <c r="G52" s="97">
        <f>SUM('15. Óvoda'!G66)</f>
        <v>17061504</v>
      </c>
      <c r="H52" s="97">
        <f>SUM('15. Óvoda'!H66)</f>
        <v>17079661</v>
      </c>
      <c r="I52" s="97">
        <f>SUM('15. Óvoda'!I66)</f>
        <v>17079661</v>
      </c>
      <c r="J52" s="97">
        <f>SUM('15. Óvoda'!J66)</f>
        <v>17112412</v>
      </c>
      <c r="K52" s="97">
        <f>SUM('15. Óvoda'!K66)</f>
        <v>17578583</v>
      </c>
    </row>
    <row r="53" spans="1:11" ht="12.75" customHeight="1">
      <c r="A53" s="180" t="s">
        <v>49</v>
      </c>
      <c r="B53" s="296"/>
      <c r="C53" s="147" t="str">
        <f>'15. Óvoda'!C67</f>
        <v>          Dologi kiadás</v>
      </c>
      <c r="D53" s="10"/>
      <c r="E53" s="97">
        <f>SUM('15. Óvoda'!E67)</f>
        <v>23164000</v>
      </c>
      <c r="F53" s="97">
        <f>SUM('15. Óvoda'!F67)</f>
        <v>19805000</v>
      </c>
      <c r="G53" s="97">
        <f>SUM('15. Óvoda'!G67)</f>
        <v>19940000</v>
      </c>
      <c r="H53" s="97">
        <f>SUM('15. Óvoda'!H67)</f>
        <v>19733037</v>
      </c>
      <c r="I53" s="97">
        <f>SUM('15. Óvoda'!I67)</f>
        <v>19733037</v>
      </c>
      <c r="J53" s="97">
        <f>SUM('15. Óvoda'!J67)</f>
        <v>19733037</v>
      </c>
      <c r="K53" s="97">
        <f>SUM('15. Óvoda'!K67)</f>
        <v>24203522</v>
      </c>
    </row>
    <row r="54" spans="1:11" ht="12.75" customHeight="1">
      <c r="A54" s="180" t="s">
        <v>51</v>
      </c>
      <c r="B54" s="296"/>
      <c r="C54" s="147" t="s">
        <v>285</v>
      </c>
      <c r="D54" s="147"/>
      <c r="E54" s="97">
        <f>SUM('15. Óvoda'!E68)</f>
        <v>680000</v>
      </c>
      <c r="F54" s="97">
        <f>SUM('15. Óvoda'!F68)</f>
        <v>0</v>
      </c>
      <c r="G54" s="97">
        <f>SUM('15. Óvoda'!G68)</f>
        <v>800000</v>
      </c>
      <c r="H54" s="97">
        <f>SUM('15. Óvoda'!H68)</f>
        <v>1006963</v>
      </c>
      <c r="I54" s="97">
        <f>SUM('15. Óvoda'!I68)</f>
        <v>1006963</v>
      </c>
      <c r="J54" s="97">
        <f>SUM('15. Óvoda'!J68)</f>
        <v>1006963</v>
      </c>
      <c r="K54" s="97">
        <f>SUM('15. Óvoda'!K68)</f>
        <v>894588</v>
      </c>
    </row>
    <row r="55" spans="1:11" ht="12.75" customHeight="1">
      <c r="A55" s="175" t="s">
        <v>53</v>
      </c>
      <c r="B55" s="297" t="s">
        <v>169</v>
      </c>
      <c r="C55" s="446" t="s">
        <v>921</v>
      </c>
      <c r="D55" s="147">
        <f>'16. Műv. ház'!D42</f>
        <v>3</v>
      </c>
      <c r="E55" s="76">
        <f aca="true" t="shared" si="7" ref="E55:J55">SUM(E56:E59)</f>
        <v>15449000</v>
      </c>
      <c r="F55" s="76">
        <f t="shared" si="7"/>
        <v>18150000</v>
      </c>
      <c r="G55" s="76">
        <f t="shared" si="7"/>
        <v>18150000</v>
      </c>
      <c r="H55" s="76">
        <f t="shared" si="7"/>
        <v>18377882</v>
      </c>
      <c r="I55" s="76">
        <f t="shared" si="7"/>
        <v>18377882</v>
      </c>
      <c r="J55" s="76">
        <f t="shared" si="7"/>
        <v>18585398</v>
      </c>
      <c r="K55" s="76">
        <f>SUM(K56:K59)</f>
        <v>15216808</v>
      </c>
    </row>
    <row r="56" spans="1:11" ht="12.75" customHeight="1">
      <c r="A56" s="180" t="s">
        <v>55</v>
      </c>
      <c r="B56" s="297"/>
      <c r="C56" s="201" t="str">
        <f>'16. Műv. ház'!C43</f>
        <v>Ebből: Személyi juttatás</v>
      </c>
      <c r="D56" s="201"/>
      <c r="E56" s="97">
        <f>SUM('16. Műv. ház'!E43)</f>
        <v>6589000</v>
      </c>
      <c r="F56" s="97">
        <f>SUM('16. Műv. ház'!F43)</f>
        <v>8635000</v>
      </c>
      <c r="G56" s="97">
        <f>SUM('16. Műv. ház'!G43)</f>
        <v>8635000</v>
      </c>
      <c r="H56" s="97">
        <f>SUM('16. Műv. ház'!H43)</f>
        <v>8820027</v>
      </c>
      <c r="I56" s="97">
        <f>SUM('16. Műv. ház'!I43)</f>
        <v>8820027</v>
      </c>
      <c r="J56" s="97">
        <f>SUM('16. Műv. ház'!J43)</f>
        <v>8906428</v>
      </c>
      <c r="K56" s="97">
        <f>SUM('16. Műv. ház'!K43)</f>
        <v>7688879</v>
      </c>
    </row>
    <row r="57" spans="1:11" ht="12.75" customHeight="1">
      <c r="A57" s="180" t="s">
        <v>57</v>
      </c>
      <c r="B57" s="297"/>
      <c r="C57" s="201" t="str">
        <f>'16. Műv. ház'!C44</f>
        <v>          Járulékok</v>
      </c>
      <c r="D57" s="147"/>
      <c r="E57" s="97">
        <f>SUM('16. Műv. ház'!E44)</f>
        <v>1945000</v>
      </c>
      <c r="F57" s="97">
        <f>SUM('16. Műv. ház'!F44)</f>
        <v>2285000</v>
      </c>
      <c r="G57" s="97">
        <f>SUM('16. Műv. ház'!G44)</f>
        <v>2285000</v>
      </c>
      <c r="H57" s="97">
        <f>SUM('16. Műv. ház'!H44)</f>
        <v>2327855</v>
      </c>
      <c r="I57" s="97">
        <f>SUM('16. Műv. ház'!I44)</f>
        <v>2327855</v>
      </c>
      <c r="J57" s="97">
        <f>SUM('16. Műv. ház'!J44)</f>
        <v>2346863</v>
      </c>
      <c r="K57" s="97">
        <f>SUM('16. Műv. ház'!K44)</f>
        <v>1729888</v>
      </c>
    </row>
    <row r="58" spans="1:11" ht="12.75" customHeight="1">
      <c r="A58" s="180" t="s">
        <v>86</v>
      </c>
      <c r="B58" s="297"/>
      <c r="C58" s="201" t="str">
        <f>'16. Műv. ház'!C45</f>
        <v>          Dologi kiadás</v>
      </c>
      <c r="D58" s="10"/>
      <c r="E58" s="97">
        <f>SUM('16. Műv. ház'!E45)</f>
        <v>6517000</v>
      </c>
      <c r="F58" s="97">
        <f>SUM('16. Műv. ház'!F45)</f>
        <v>6830000</v>
      </c>
      <c r="G58" s="97">
        <f>SUM('16. Műv. ház'!G45)</f>
        <v>6830000</v>
      </c>
      <c r="H58" s="97">
        <f>SUM('16. Műv. ház'!H45)</f>
        <v>6830000</v>
      </c>
      <c r="I58" s="97">
        <f>SUM('16. Műv. ház'!I45)</f>
        <v>6830000</v>
      </c>
      <c r="J58" s="97">
        <f>SUM('16. Műv. ház'!J45)</f>
        <v>6932107</v>
      </c>
      <c r="K58" s="97">
        <f>SUM('16. Műv. ház'!K45)</f>
        <v>5094264</v>
      </c>
    </row>
    <row r="59" spans="1:11" ht="12.75" customHeight="1">
      <c r="A59" s="180" t="s">
        <v>59</v>
      </c>
      <c r="B59" s="297"/>
      <c r="C59" s="201" t="s">
        <v>285</v>
      </c>
      <c r="D59" s="10"/>
      <c r="E59" s="97">
        <f>SUM('16. Műv. ház'!E46)</f>
        <v>398000</v>
      </c>
      <c r="F59" s="97">
        <f>SUM('16. Műv. ház'!F46)</f>
        <v>400000</v>
      </c>
      <c r="G59" s="97">
        <f>SUM('16. Műv. ház'!G46)</f>
        <v>400000</v>
      </c>
      <c r="H59" s="97">
        <f>SUM('16. Műv. ház'!H46)</f>
        <v>400000</v>
      </c>
      <c r="I59" s="97">
        <f>SUM('16. Műv. ház'!I46)</f>
        <v>400000</v>
      </c>
      <c r="J59" s="97">
        <f>SUM('16. Műv. ház'!J46)</f>
        <v>400000</v>
      </c>
      <c r="K59" s="97">
        <f>SUM('16. Műv. ház'!K46)</f>
        <v>703777</v>
      </c>
    </row>
    <row r="60" spans="1:11" ht="12.75" customHeight="1">
      <c r="A60" s="175" t="s">
        <v>61</v>
      </c>
      <c r="B60" s="297" t="s">
        <v>176</v>
      </c>
      <c r="C60" s="10" t="s">
        <v>327</v>
      </c>
      <c r="D60" s="10">
        <f>'17. Hivatal'!D41</f>
        <v>16</v>
      </c>
      <c r="E60" s="76">
        <f aca="true" t="shared" si="8" ref="E60:J60">SUM(E61:E64)</f>
        <v>76902000</v>
      </c>
      <c r="F60" s="76">
        <f t="shared" si="8"/>
        <v>86703000</v>
      </c>
      <c r="G60" s="76">
        <f t="shared" si="8"/>
        <v>86703000</v>
      </c>
      <c r="H60" s="76">
        <f t="shared" si="8"/>
        <v>86719510</v>
      </c>
      <c r="I60" s="76">
        <f t="shared" si="8"/>
        <v>86719510</v>
      </c>
      <c r="J60" s="76">
        <f t="shared" si="8"/>
        <v>86719510</v>
      </c>
      <c r="K60" s="76">
        <f>SUM(K61:K64)</f>
        <v>80440449</v>
      </c>
    </row>
    <row r="61" spans="1:11" ht="12.75" customHeight="1">
      <c r="A61" s="180" t="s">
        <v>63</v>
      </c>
      <c r="B61" s="297"/>
      <c r="C61" s="147" t="str">
        <f>'17. Hivatal'!C42</f>
        <v>Ebből: Személyi juttatás</v>
      </c>
      <c r="D61" s="147"/>
      <c r="E61" s="97">
        <f>SUM('17. Hivatal'!E42)</f>
        <v>50857000</v>
      </c>
      <c r="F61" s="97">
        <f>SUM('17. Hivatal'!F42)</f>
        <v>60139000</v>
      </c>
      <c r="G61" s="97">
        <f>SUM('17. Hivatal'!G42)</f>
        <v>60139000</v>
      </c>
      <c r="H61" s="97">
        <f>SUM('17. Hivatal'!H42)</f>
        <v>60152000</v>
      </c>
      <c r="I61" s="97">
        <f>SUM('17. Hivatal'!I42)</f>
        <v>60152000</v>
      </c>
      <c r="J61" s="97">
        <f>SUM('17. Hivatal'!J42)</f>
        <v>60152000</v>
      </c>
      <c r="K61" s="97">
        <f>SUM('17. Hivatal'!K42)</f>
        <v>56426973</v>
      </c>
    </row>
    <row r="62" spans="1:11" ht="12.75" customHeight="1">
      <c r="A62" s="180" t="s">
        <v>65</v>
      </c>
      <c r="B62" s="297"/>
      <c r="C62" s="147" t="str">
        <f>'17. Hivatal'!C43</f>
        <v>          Járulékok</v>
      </c>
      <c r="D62" s="10"/>
      <c r="E62" s="97">
        <f>SUM('17. Hivatal'!E43)</f>
        <v>13890000</v>
      </c>
      <c r="F62" s="97">
        <f>SUM('17. Hivatal'!F43)</f>
        <v>13364000</v>
      </c>
      <c r="G62" s="97">
        <f>SUM('17. Hivatal'!G43)</f>
        <v>13364000</v>
      </c>
      <c r="H62" s="97">
        <f>SUM('17. Hivatal'!H43)</f>
        <v>13367510</v>
      </c>
      <c r="I62" s="97">
        <f>SUM('17. Hivatal'!I43)</f>
        <v>13367510</v>
      </c>
      <c r="J62" s="97">
        <f>SUM('17. Hivatal'!J43)</f>
        <v>13367510</v>
      </c>
      <c r="K62" s="97">
        <f>SUM('17. Hivatal'!K43)</f>
        <v>12600977</v>
      </c>
    </row>
    <row r="63" spans="1:11" ht="12.75" customHeight="1">
      <c r="A63" s="180" t="s">
        <v>92</v>
      </c>
      <c r="B63" s="297"/>
      <c r="C63" s="147" t="str">
        <f>'17. Hivatal'!C44</f>
        <v>          Dologi kiadás</v>
      </c>
      <c r="D63" s="147"/>
      <c r="E63" s="97">
        <f>SUM('17. Hivatal'!E44)</f>
        <v>12155000</v>
      </c>
      <c r="F63" s="97">
        <f>SUM('17. Hivatal'!F44)</f>
        <v>12000000</v>
      </c>
      <c r="G63" s="97">
        <f>SUM('17. Hivatal'!G44)</f>
        <v>12000000</v>
      </c>
      <c r="H63" s="97">
        <f>SUM('17. Hivatal'!H44)</f>
        <v>11925000</v>
      </c>
      <c r="I63" s="97">
        <f>SUM('17. Hivatal'!I44)</f>
        <v>11925000</v>
      </c>
      <c r="J63" s="97">
        <f>SUM('17. Hivatal'!J44)</f>
        <v>11925000</v>
      </c>
      <c r="K63" s="97">
        <f>SUM('17. Hivatal'!K44)</f>
        <v>10127032</v>
      </c>
    </row>
    <row r="64" spans="1:11" ht="12.75" customHeight="1">
      <c r="A64" s="180" t="s">
        <v>66</v>
      </c>
      <c r="B64" s="297"/>
      <c r="C64" s="147" t="s">
        <v>285</v>
      </c>
      <c r="D64" s="147"/>
      <c r="E64" s="97">
        <f>SUM('17. Hivatal'!E45)</f>
        <v>0</v>
      </c>
      <c r="F64" s="97">
        <f>SUM('17. Hivatal'!F45)</f>
        <v>1200000</v>
      </c>
      <c r="G64" s="97">
        <f>SUM('17. Hivatal'!G45)</f>
        <v>1200000</v>
      </c>
      <c r="H64" s="97">
        <f>SUM('17. Hivatal'!H45)</f>
        <v>1275000</v>
      </c>
      <c r="I64" s="97">
        <f>SUM('17. Hivatal'!I45)</f>
        <v>1275000</v>
      </c>
      <c r="J64" s="97">
        <f>SUM('17. Hivatal'!J45)</f>
        <v>1275000</v>
      </c>
      <c r="K64" s="97">
        <f>SUM('17. Hivatal'!K45)</f>
        <v>1285467</v>
      </c>
    </row>
    <row r="65" spans="1:11" s="166" customFormat="1" ht="12.75" customHeight="1">
      <c r="A65" s="175" t="s">
        <v>67</v>
      </c>
      <c r="B65" s="297" t="s">
        <v>186</v>
      </c>
      <c r="C65" s="10" t="s">
        <v>629</v>
      </c>
      <c r="D65" s="10">
        <v>18</v>
      </c>
      <c r="E65" s="76">
        <f aca="true" t="shared" si="9" ref="E65:J65">SUM(E66:E69)</f>
        <v>108076000</v>
      </c>
      <c r="F65" s="76">
        <f t="shared" si="9"/>
        <v>94122000</v>
      </c>
      <c r="G65" s="76">
        <f t="shared" si="9"/>
        <v>89518407</v>
      </c>
      <c r="H65" s="76">
        <f t="shared" si="9"/>
        <v>89774063</v>
      </c>
      <c r="I65" s="76">
        <f t="shared" si="9"/>
        <v>89774063</v>
      </c>
      <c r="J65" s="76">
        <f t="shared" si="9"/>
        <v>90731054</v>
      </c>
      <c r="K65" s="76">
        <f>SUM(K66:K69)</f>
        <v>88180563</v>
      </c>
    </row>
    <row r="66" spans="1:11" ht="12.75" customHeight="1">
      <c r="A66" s="180" t="s">
        <v>68</v>
      </c>
      <c r="B66" s="297"/>
      <c r="C66" s="147" t="s">
        <v>264</v>
      </c>
      <c r="D66" s="10"/>
      <c r="E66" s="97">
        <f>SUM('18. VÜKI'!E85)</f>
        <v>50508000</v>
      </c>
      <c r="F66" s="97">
        <f>SUM('18. VÜKI'!F85)</f>
        <v>46037000</v>
      </c>
      <c r="G66" s="97">
        <f>SUM('18. VÜKI'!G85)</f>
        <v>41889596</v>
      </c>
      <c r="H66" s="97">
        <f>SUM('18. VÜKI'!H85)</f>
        <v>42103616</v>
      </c>
      <c r="I66" s="97">
        <f>SUM('18. VÜKI'!I85)</f>
        <v>42103616</v>
      </c>
      <c r="J66" s="97">
        <f>SUM('18. VÜKI'!J85)</f>
        <v>42852034</v>
      </c>
      <c r="K66" s="97">
        <f>SUM('18. VÜKI'!K85)</f>
        <v>42785576</v>
      </c>
    </row>
    <row r="67" spans="1:11" ht="12.75" customHeight="1">
      <c r="A67" s="180" t="s">
        <v>70</v>
      </c>
      <c r="B67" s="297"/>
      <c r="C67" s="147" t="s">
        <v>630</v>
      </c>
      <c r="D67" s="10"/>
      <c r="E67" s="97">
        <f>SUM('18. VÜKI'!E86)</f>
        <v>12285000</v>
      </c>
      <c r="F67" s="97">
        <f>SUM('18. VÜKI'!F86)</f>
        <v>9033000</v>
      </c>
      <c r="G67" s="97">
        <f>SUM('18. VÜKI'!G86)</f>
        <v>8576811</v>
      </c>
      <c r="H67" s="97">
        <f>SUM('18. VÜKI'!H86)</f>
        <v>8618447</v>
      </c>
      <c r="I67" s="97">
        <f>SUM('18. VÜKI'!I86)</f>
        <v>8618447</v>
      </c>
      <c r="J67" s="97">
        <f>SUM('18. VÜKI'!J86)</f>
        <v>8827020</v>
      </c>
      <c r="K67" s="97">
        <f>SUM('18. VÜKI'!K86)</f>
        <v>9043350</v>
      </c>
    </row>
    <row r="68" spans="1:11" ht="12.75" customHeight="1">
      <c r="A68" s="180" t="s">
        <v>97</v>
      </c>
      <c r="B68" s="297"/>
      <c r="C68" s="147" t="s">
        <v>373</v>
      </c>
      <c r="D68" s="10"/>
      <c r="E68" s="97">
        <f>SUM('18. VÜKI'!E87)</f>
        <v>42833000</v>
      </c>
      <c r="F68" s="97">
        <f>SUM('18. VÜKI'!F87)</f>
        <v>38702000</v>
      </c>
      <c r="G68" s="97">
        <f>SUM('18. VÜKI'!G87)</f>
        <v>38702000</v>
      </c>
      <c r="H68" s="97">
        <f>SUM('18. VÜKI'!H87)</f>
        <v>38552000</v>
      </c>
      <c r="I68" s="97">
        <f>SUM('18. VÜKI'!I87)</f>
        <v>38552000</v>
      </c>
      <c r="J68" s="97">
        <f>SUM('18. VÜKI'!J87)</f>
        <v>38552000</v>
      </c>
      <c r="K68" s="97">
        <f>SUM('18. VÜKI'!K87)</f>
        <v>35581094</v>
      </c>
    </row>
    <row r="69" spans="1:11" ht="12.75" customHeight="1">
      <c r="A69" s="180" t="s">
        <v>99</v>
      </c>
      <c r="B69" s="297"/>
      <c r="C69" s="147" t="s">
        <v>285</v>
      </c>
      <c r="D69" s="10"/>
      <c r="E69" s="97">
        <f>'18. VÜKI'!E88</f>
        <v>2450000</v>
      </c>
      <c r="F69" s="97">
        <f>'18. VÜKI'!F88</f>
        <v>350000</v>
      </c>
      <c r="G69" s="97">
        <f>'18. VÜKI'!G88</f>
        <v>350000</v>
      </c>
      <c r="H69" s="97">
        <f>'18. VÜKI'!H88</f>
        <v>500000</v>
      </c>
      <c r="I69" s="97">
        <f>'18. VÜKI'!I88</f>
        <v>500000</v>
      </c>
      <c r="J69" s="97">
        <f>'18. VÜKI'!J88</f>
        <v>500000</v>
      </c>
      <c r="K69" s="97">
        <f>'18. VÜKI'!K88</f>
        <v>770543</v>
      </c>
    </row>
    <row r="70" spans="1:11" ht="12.75" customHeight="1">
      <c r="A70" s="175" t="s">
        <v>101</v>
      </c>
      <c r="B70" s="297" t="s">
        <v>187</v>
      </c>
      <c r="C70" s="10" t="s">
        <v>2</v>
      </c>
      <c r="D70" s="10">
        <v>4</v>
      </c>
      <c r="E70" s="76">
        <f aca="true" t="shared" si="10" ref="E70:J70">SUM(E71:E83)</f>
        <v>657710000</v>
      </c>
      <c r="F70" s="76">
        <f t="shared" si="10"/>
        <v>457207000</v>
      </c>
      <c r="G70" s="76">
        <f t="shared" si="10"/>
        <v>460709476</v>
      </c>
      <c r="H70" s="76">
        <f t="shared" si="10"/>
        <v>464516008</v>
      </c>
      <c r="I70" s="76">
        <f t="shared" si="10"/>
        <v>464516008</v>
      </c>
      <c r="J70" s="76">
        <f t="shared" si="10"/>
        <v>833274759</v>
      </c>
      <c r="K70" s="76">
        <f>SUM(K71:K83)</f>
        <v>1168351032</v>
      </c>
    </row>
    <row r="71" spans="1:11" ht="12.75" customHeight="1">
      <c r="A71" s="180" t="s">
        <v>103</v>
      </c>
      <c r="B71" s="297"/>
      <c r="C71" s="147" t="s">
        <v>264</v>
      </c>
      <c r="D71" s="10"/>
      <c r="E71" s="97">
        <f>SUM('19 önkormányzat'!E118)</f>
        <v>40317000</v>
      </c>
      <c r="F71" s="97">
        <f>SUM('19 önkormányzat'!F118)</f>
        <v>20859000</v>
      </c>
      <c r="G71" s="97">
        <f>SUM('19 önkormányzat'!G118)</f>
        <v>21090100</v>
      </c>
      <c r="H71" s="97">
        <f>SUM('19 önkormányzat'!H118)</f>
        <v>21864922</v>
      </c>
      <c r="I71" s="97">
        <f>SUM('19 önkormányzat'!I118)</f>
        <v>21864922</v>
      </c>
      <c r="J71" s="97">
        <f>SUM('19 önkormányzat'!J118)</f>
        <v>23672001</v>
      </c>
      <c r="K71" s="97">
        <f>SUM('19 önkormányzat'!K118)</f>
        <v>26918127</v>
      </c>
    </row>
    <row r="72" spans="1:11" ht="12.75" customHeight="1">
      <c r="A72" s="180" t="s">
        <v>105</v>
      </c>
      <c r="B72" s="297"/>
      <c r="C72" s="147" t="s">
        <v>630</v>
      </c>
      <c r="D72" s="147"/>
      <c r="E72" s="97">
        <f>SUM('19 önkormányzat'!E119)</f>
        <v>10283000</v>
      </c>
      <c r="F72" s="97">
        <f>SUM('19 önkormányzat'!F119)</f>
        <v>4634000</v>
      </c>
      <c r="G72" s="97">
        <f>SUM('19 önkormányzat'!G119)</f>
        <v>4634000</v>
      </c>
      <c r="H72" s="97">
        <f>SUM('19 önkormányzat'!H119)</f>
        <v>4837143</v>
      </c>
      <c r="I72" s="97">
        <f>SUM('19 önkormányzat'!I119)</f>
        <v>4837143</v>
      </c>
      <c r="J72" s="97">
        <f>SUM('19 önkormányzat'!J119)</f>
        <v>5234700</v>
      </c>
      <c r="K72" s="97">
        <f>SUM('19 önkormányzat'!K119)</f>
        <v>5515431</v>
      </c>
    </row>
    <row r="73" spans="1:11" ht="12.75" customHeight="1">
      <c r="A73" s="180" t="s">
        <v>107</v>
      </c>
      <c r="B73" s="296"/>
      <c r="C73" s="147" t="s">
        <v>373</v>
      </c>
      <c r="D73" s="147"/>
      <c r="E73" s="97">
        <f>SUM('19 önkormányzat'!E120)</f>
        <v>71129000</v>
      </c>
      <c r="F73" s="97">
        <f>SUM('19 önkormányzat'!F120)</f>
        <v>44823060</v>
      </c>
      <c r="G73" s="97">
        <f>SUM('19 önkormányzat'!G120)</f>
        <v>41372564</v>
      </c>
      <c r="H73" s="97">
        <f>SUM('19 önkormányzat'!H120)</f>
        <v>41200180</v>
      </c>
      <c r="I73" s="97">
        <f>SUM('19 önkormányzat'!I120)</f>
        <v>41200180</v>
      </c>
      <c r="J73" s="97">
        <f>SUM('19 önkormányzat'!J120)</f>
        <v>69614702</v>
      </c>
      <c r="K73" s="97">
        <f>SUM('19 önkormányzat'!K120)</f>
        <v>64164195</v>
      </c>
    </row>
    <row r="74" spans="1:11" ht="12.75" customHeight="1">
      <c r="A74" s="969" t="s">
        <v>109</v>
      </c>
      <c r="B74" s="296"/>
      <c r="C74" s="967" t="s">
        <v>773</v>
      </c>
      <c r="D74" s="201"/>
      <c r="E74" s="97">
        <f>SUM('19 önkormányzat'!E89)</f>
        <v>3274000</v>
      </c>
      <c r="F74" s="97">
        <f>SUM('19 önkormányzat'!F89)</f>
        <v>3200000</v>
      </c>
      <c r="G74" s="97">
        <f>SUM('19 önkormányzat'!G89)</f>
        <v>3200000</v>
      </c>
      <c r="H74" s="97">
        <f>SUM('19 önkormányzat'!H89)</f>
        <v>3200000</v>
      </c>
      <c r="I74" s="97">
        <f>SUM('19 önkormányzat'!I89)</f>
        <v>3200000</v>
      </c>
      <c r="J74" s="97">
        <f>SUM('19 önkormányzat'!J89)</f>
        <v>3071000</v>
      </c>
      <c r="K74" s="97">
        <f>SUM('19 önkormányzat'!K89)</f>
        <v>4659500</v>
      </c>
    </row>
    <row r="75" spans="1:11" ht="12.75" customHeight="1">
      <c r="A75" s="969" t="s">
        <v>111</v>
      </c>
      <c r="B75" s="449"/>
      <c r="C75" s="147" t="s">
        <v>631</v>
      </c>
      <c r="D75" s="201"/>
      <c r="E75" s="97">
        <f>SUM('19 önkormányzat'!E123)</f>
        <v>35672000</v>
      </c>
      <c r="F75" s="97">
        <f>SUM('19 önkormányzat'!F123)</f>
        <v>28610089</v>
      </c>
      <c r="G75" s="97">
        <f>SUM('19 önkormányzat'!G123)</f>
        <v>31516089</v>
      </c>
      <c r="H75" s="97">
        <f>SUM('19 önkormányzat'!H123)</f>
        <v>33989291</v>
      </c>
      <c r="I75" s="97">
        <f>SUM('19 önkormányzat'!I123)</f>
        <v>33989291</v>
      </c>
      <c r="J75" s="97">
        <f>SUM('19 önkormányzat'!J123)</f>
        <v>35755848</v>
      </c>
      <c r="K75" s="97">
        <f>SUM('19 önkormányzat'!K123)</f>
        <v>33983308</v>
      </c>
    </row>
    <row r="76" spans="1:11" ht="12.75" customHeight="1">
      <c r="A76" s="180" t="s">
        <v>113</v>
      </c>
      <c r="B76" s="449"/>
      <c r="C76" s="147" t="s">
        <v>632</v>
      </c>
      <c r="D76" s="10"/>
      <c r="E76" s="97">
        <f>SUM('19 önkormányzat'!E124)</f>
        <v>95187000</v>
      </c>
      <c r="F76" s="97">
        <f>SUM('19 önkormányzat'!F124)</f>
        <v>26242174</v>
      </c>
      <c r="G76" s="97">
        <f>SUM('19 önkormányzat'!G124)</f>
        <v>21185174</v>
      </c>
      <c r="H76" s="97">
        <f>SUM('19 önkormányzat'!H124)</f>
        <v>25930687</v>
      </c>
      <c r="I76" s="97">
        <f>SUM('19 önkormányzat'!I124)</f>
        <v>25930687</v>
      </c>
      <c r="J76" s="97">
        <f>SUM('19 önkormányzat'!J124)</f>
        <v>361071666</v>
      </c>
      <c r="K76" s="97">
        <f>SUM('19 önkormányzat'!K124)</f>
        <v>37258268</v>
      </c>
    </row>
    <row r="77" spans="1:11" ht="13.5" customHeight="1">
      <c r="A77" s="180" t="s">
        <v>115</v>
      </c>
      <c r="B77" s="449"/>
      <c r="C77" s="147" t="s">
        <v>633</v>
      </c>
      <c r="D77" s="147"/>
      <c r="E77" s="97">
        <v>276745000</v>
      </c>
      <c r="F77" s="97">
        <f>SUM('19 önkormányzat'!F116)</f>
        <v>281359235</v>
      </c>
      <c r="G77" s="97">
        <f>SUM('19 önkormányzat'!G116)</f>
        <v>277111346</v>
      </c>
      <c r="H77" s="97">
        <f>SUM('19 önkormányzat'!H116)</f>
        <v>277712085</v>
      </c>
      <c r="I77" s="97">
        <f>SUM('19 önkormányzat'!I116)</f>
        <v>277712085</v>
      </c>
      <c r="J77" s="97">
        <f>SUM('19 önkormányzat'!J116)</f>
        <v>278048647</v>
      </c>
      <c r="K77" s="97">
        <f>SUM('19 önkormányzat'!K116)</f>
        <v>270216255</v>
      </c>
    </row>
    <row r="78" spans="1:11" ht="13.5" customHeight="1">
      <c r="A78" s="180" t="s">
        <v>117</v>
      </c>
      <c r="B78" s="449"/>
      <c r="C78" s="147" t="s">
        <v>289</v>
      </c>
      <c r="D78" s="147"/>
      <c r="E78" s="97">
        <v>80000000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</row>
    <row r="79" spans="1:11" ht="13.5" customHeight="1">
      <c r="A79" s="969" t="s">
        <v>118</v>
      </c>
      <c r="B79" s="449"/>
      <c r="C79" s="967" t="s">
        <v>774</v>
      </c>
      <c r="D79" s="147"/>
      <c r="E79" s="97">
        <v>256000</v>
      </c>
      <c r="F79" s="97">
        <v>0</v>
      </c>
      <c r="G79" s="97">
        <v>0</v>
      </c>
      <c r="H79" s="97">
        <v>0</v>
      </c>
      <c r="I79" s="97">
        <v>0</v>
      </c>
      <c r="J79" s="97">
        <v>53488</v>
      </c>
      <c r="K79" s="97">
        <v>53488</v>
      </c>
    </row>
    <row r="80" spans="1:11" ht="29.25" customHeight="1">
      <c r="A80" s="969" t="s">
        <v>120</v>
      </c>
      <c r="B80" s="449"/>
      <c r="C80" s="150" t="s">
        <v>287</v>
      </c>
      <c r="D80" s="147"/>
      <c r="E80" s="97">
        <v>10204000</v>
      </c>
      <c r="F80" s="97">
        <f>SUM('19 önkormányzat'!F53)</f>
        <v>6401277</v>
      </c>
      <c r="G80" s="97">
        <f>SUM('19 önkormányzat'!G53)</f>
        <v>7745538</v>
      </c>
      <c r="H80" s="97">
        <f>SUM('19 önkormányzat'!H53)</f>
        <v>8502671</v>
      </c>
      <c r="I80" s="97">
        <f>SUM('19 önkormányzat'!I53)</f>
        <v>8502671</v>
      </c>
      <c r="J80" s="97">
        <f>SUM('19 önkormányzat'!J53)</f>
        <v>9473678</v>
      </c>
      <c r="K80" s="97">
        <v>10321373</v>
      </c>
    </row>
    <row r="81" spans="1:11" ht="29.25" customHeight="1">
      <c r="A81" s="969" t="s">
        <v>122</v>
      </c>
      <c r="B81" s="449"/>
      <c r="C81" s="968" t="s">
        <v>776</v>
      </c>
      <c r="D81" s="147"/>
      <c r="E81" s="97">
        <v>805000</v>
      </c>
      <c r="F81" s="97"/>
      <c r="G81" s="97"/>
      <c r="H81" s="97"/>
      <c r="I81" s="97"/>
      <c r="J81" s="97"/>
      <c r="K81" s="97"/>
    </row>
    <row r="82" spans="1:11" ht="12.75">
      <c r="A82" s="969" t="s">
        <v>124</v>
      </c>
      <c r="B82" s="449"/>
      <c r="C82" s="968" t="s">
        <v>775</v>
      </c>
      <c r="D82" s="147"/>
      <c r="E82" s="97">
        <v>400000</v>
      </c>
      <c r="F82" s="97"/>
      <c r="G82" s="97"/>
      <c r="H82" s="97"/>
      <c r="I82" s="97"/>
      <c r="J82" s="97"/>
      <c r="K82" s="97"/>
    </row>
    <row r="83" spans="1:11" ht="12.75" customHeight="1">
      <c r="A83" s="969" t="s">
        <v>126</v>
      </c>
      <c r="B83" s="449"/>
      <c r="C83" s="147" t="s">
        <v>574</v>
      </c>
      <c r="D83" s="147"/>
      <c r="E83" s="97">
        <f>SUM('19 önkormányzat'!E122)</f>
        <v>33438000</v>
      </c>
      <c r="F83" s="97">
        <v>41078165</v>
      </c>
      <c r="G83" s="97">
        <v>52854665</v>
      </c>
      <c r="H83" s="97">
        <v>47279029</v>
      </c>
      <c r="I83" s="97">
        <v>47279029</v>
      </c>
      <c r="J83" s="97">
        <v>47279029</v>
      </c>
      <c r="K83" s="97">
        <v>715261087</v>
      </c>
    </row>
    <row r="84" spans="1:11" s="166" customFormat="1" ht="12.75" customHeight="1">
      <c r="A84" s="450" t="s">
        <v>128</v>
      </c>
      <c r="B84" s="451"/>
      <c r="C84" s="452" t="s">
        <v>608</v>
      </c>
      <c r="D84" s="452"/>
      <c r="E84" s="453">
        <f aca="true" t="shared" si="11" ref="E84:J84">E50+E55+E60+E70-E77+E65</f>
        <v>690210000</v>
      </c>
      <c r="F84" s="453">
        <f t="shared" si="11"/>
        <v>486937765</v>
      </c>
      <c r="G84" s="453">
        <f t="shared" si="11"/>
        <v>491255241</v>
      </c>
      <c r="H84" s="453">
        <f t="shared" si="11"/>
        <v>495061773</v>
      </c>
      <c r="I84" s="453">
        <f t="shared" si="11"/>
        <v>495061773</v>
      </c>
      <c r="J84" s="453">
        <f t="shared" si="11"/>
        <v>864830090</v>
      </c>
      <c r="K84" s="453">
        <f>K50+K55+K60+K70-K77+K65</f>
        <v>1199775895</v>
      </c>
    </row>
    <row r="85" spans="1:11" ht="12.75" customHeight="1">
      <c r="A85" s="450" t="s">
        <v>130</v>
      </c>
      <c r="B85" s="454"/>
      <c r="C85" s="455" t="s">
        <v>634</v>
      </c>
      <c r="D85" s="456"/>
      <c r="E85" s="457">
        <f aca="true" t="shared" si="12" ref="E85:J85">E84+E77</f>
        <v>966955000</v>
      </c>
      <c r="F85" s="457">
        <f t="shared" si="12"/>
        <v>768297000</v>
      </c>
      <c r="G85" s="457">
        <f t="shared" si="12"/>
        <v>768366587</v>
      </c>
      <c r="H85" s="457">
        <f t="shared" si="12"/>
        <v>772773858</v>
      </c>
      <c r="I85" s="457">
        <f t="shared" si="12"/>
        <v>772773858</v>
      </c>
      <c r="J85" s="457">
        <f t="shared" si="12"/>
        <v>1142878737</v>
      </c>
      <c r="K85" s="457">
        <f>K84+K77</f>
        <v>1469992150</v>
      </c>
    </row>
    <row r="86" spans="1:11" ht="12.75" customHeight="1">
      <c r="A86" s="969" t="s">
        <v>131</v>
      </c>
      <c r="B86" s="252"/>
      <c r="C86" s="458" t="s">
        <v>635</v>
      </c>
      <c r="D86" s="252"/>
      <c r="E86" s="97"/>
      <c r="F86" s="97"/>
      <c r="G86" s="97"/>
      <c r="H86" s="97"/>
      <c r="I86" s="97"/>
      <c r="J86" s="97"/>
      <c r="K86" s="97"/>
    </row>
    <row r="87" spans="1:11" ht="12.75" customHeight="1">
      <c r="A87" s="969" t="s">
        <v>133</v>
      </c>
      <c r="B87" s="252"/>
      <c r="C87" s="283" t="s">
        <v>636</v>
      </c>
      <c r="D87" s="252"/>
      <c r="E87" s="97">
        <f aca="true" t="shared" si="13" ref="E87:J87">E51+E56+E61+E66+E71</f>
        <v>215804000</v>
      </c>
      <c r="F87" s="97">
        <f t="shared" si="13"/>
        <v>210961000</v>
      </c>
      <c r="G87" s="97">
        <f t="shared" si="13"/>
        <v>207237896</v>
      </c>
      <c r="H87" s="97">
        <f t="shared" si="13"/>
        <v>208507299</v>
      </c>
      <c r="I87" s="97">
        <f t="shared" si="13"/>
        <v>208507299</v>
      </c>
      <c r="J87" s="97">
        <f t="shared" si="13"/>
        <v>211298067</v>
      </c>
      <c r="K87" s="97">
        <f>K51+K56+K61+K66+K71</f>
        <v>208946160</v>
      </c>
    </row>
    <row r="88" spans="1:11" ht="12.75" customHeight="1">
      <c r="A88" s="969" t="s">
        <v>135</v>
      </c>
      <c r="B88" s="252"/>
      <c r="C88" s="283" t="s">
        <v>637</v>
      </c>
      <c r="D88" s="252"/>
      <c r="E88" s="97">
        <f aca="true" t="shared" si="14" ref="E88:J88">E72+E67+E62+E57+E52</f>
        <v>55844000</v>
      </c>
      <c r="F88" s="97">
        <f t="shared" si="14"/>
        <v>46335000</v>
      </c>
      <c r="G88" s="97">
        <f t="shared" si="14"/>
        <v>45921315</v>
      </c>
      <c r="H88" s="97">
        <f t="shared" si="14"/>
        <v>46230616</v>
      </c>
      <c r="I88" s="97">
        <f t="shared" si="14"/>
        <v>46230616</v>
      </c>
      <c r="J88" s="97">
        <f t="shared" si="14"/>
        <v>46888505</v>
      </c>
      <c r="K88" s="97">
        <f>K72+K67+K62+K57+K52</f>
        <v>46468229</v>
      </c>
    </row>
    <row r="89" spans="1:11" ht="12.75" customHeight="1">
      <c r="A89" s="969" t="s">
        <v>137</v>
      </c>
      <c r="B89" s="252"/>
      <c r="C89" s="283" t="s">
        <v>638</v>
      </c>
      <c r="D89" s="252"/>
      <c r="E89" s="97">
        <f aca="true" t="shared" si="15" ref="E89:J89">E53+E58+E63+E68+E73</f>
        <v>155798000</v>
      </c>
      <c r="F89" s="97">
        <f t="shared" si="15"/>
        <v>122160060</v>
      </c>
      <c r="G89" s="97">
        <f t="shared" si="15"/>
        <v>118844564</v>
      </c>
      <c r="H89" s="97">
        <f t="shared" si="15"/>
        <v>118240217</v>
      </c>
      <c r="I89" s="97">
        <f t="shared" si="15"/>
        <v>118240217</v>
      </c>
      <c r="J89" s="97">
        <f t="shared" si="15"/>
        <v>146756846</v>
      </c>
      <c r="K89" s="97">
        <f>K53+K58+K63+K68+K73</f>
        <v>139170107</v>
      </c>
    </row>
    <row r="90" spans="1:11" s="166" customFormat="1" ht="12.75" customHeight="1">
      <c r="A90" s="175" t="s">
        <v>139</v>
      </c>
      <c r="B90" s="127"/>
      <c r="C90" s="459" t="s">
        <v>25</v>
      </c>
      <c r="D90" s="102"/>
      <c r="E90" s="102">
        <f aca="true" t="shared" si="16" ref="E90:J90">SUM(E87:E89)</f>
        <v>427446000</v>
      </c>
      <c r="F90" s="102">
        <f t="shared" si="16"/>
        <v>379456060</v>
      </c>
      <c r="G90" s="102">
        <f t="shared" si="16"/>
        <v>372003775</v>
      </c>
      <c r="H90" s="102">
        <f t="shared" si="16"/>
        <v>372978132</v>
      </c>
      <c r="I90" s="102">
        <f t="shared" si="16"/>
        <v>372978132</v>
      </c>
      <c r="J90" s="102">
        <f t="shared" si="16"/>
        <v>404943418</v>
      </c>
      <c r="K90" s="102">
        <f>SUM(K87:K89)</f>
        <v>394584496</v>
      </c>
    </row>
    <row r="91" spans="1:11" s="166" customFormat="1" ht="12.75" customHeight="1">
      <c r="A91" s="969" t="s">
        <v>141</v>
      </c>
      <c r="B91" s="127"/>
      <c r="C91" s="282" t="s">
        <v>270</v>
      </c>
      <c r="D91" s="127"/>
      <c r="E91" s="97">
        <f aca="true" t="shared" si="17" ref="E91:J91">E75</f>
        <v>35672000</v>
      </c>
      <c r="F91" s="97">
        <f t="shared" si="17"/>
        <v>28610089</v>
      </c>
      <c r="G91" s="97">
        <f t="shared" si="17"/>
        <v>31516089</v>
      </c>
      <c r="H91" s="97">
        <f t="shared" si="17"/>
        <v>33989291</v>
      </c>
      <c r="I91" s="97">
        <f t="shared" si="17"/>
        <v>33989291</v>
      </c>
      <c r="J91" s="97">
        <f t="shared" si="17"/>
        <v>35755848</v>
      </c>
      <c r="K91" s="97">
        <f>K75</f>
        <v>33983308</v>
      </c>
    </row>
    <row r="92" spans="1:11" s="166" customFormat="1" ht="12.75" customHeight="1">
      <c r="A92" s="969" t="s">
        <v>143</v>
      </c>
      <c r="B92" s="127"/>
      <c r="C92" s="282" t="s">
        <v>317</v>
      </c>
      <c r="D92" s="127"/>
      <c r="E92" s="97">
        <f aca="true" t="shared" si="18" ref="E92:J92">SUM(E74)</f>
        <v>3274000</v>
      </c>
      <c r="F92" s="97">
        <f t="shared" si="18"/>
        <v>3200000</v>
      </c>
      <c r="G92" s="97">
        <f t="shared" si="18"/>
        <v>3200000</v>
      </c>
      <c r="H92" s="97">
        <f t="shared" si="18"/>
        <v>3200000</v>
      </c>
      <c r="I92" s="97">
        <f t="shared" si="18"/>
        <v>3200000</v>
      </c>
      <c r="J92" s="97">
        <f t="shared" si="18"/>
        <v>3071000</v>
      </c>
      <c r="K92" s="97">
        <f>SUM(K74)</f>
        <v>4659500</v>
      </c>
    </row>
    <row r="93" spans="1:11" s="166" customFormat="1" ht="12.75" customHeight="1">
      <c r="A93" s="969" t="s">
        <v>145</v>
      </c>
      <c r="B93" s="127"/>
      <c r="C93" s="282" t="s">
        <v>319</v>
      </c>
      <c r="D93" s="127"/>
      <c r="E93" s="97">
        <f aca="true" t="shared" si="19" ref="E93:J93">E54+E59+E64+E69+E76</f>
        <v>98715000</v>
      </c>
      <c r="F93" s="97">
        <f t="shared" si="19"/>
        <v>28192174</v>
      </c>
      <c r="G93" s="97">
        <f t="shared" si="19"/>
        <v>23935174</v>
      </c>
      <c r="H93" s="97">
        <f t="shared" si="19"/>
        <v>29112650</v>
      </c>
      <c r="I93" s="97">
        <f t="shared" si="19"/>
        <v>29112650</v>
      </c>
      <c r="J93" s="97">
        <f t="shared" si="19"/>
        <v>364253629</v>
      </c>
      <c r="K93" s="97">
        <f>K54+K59+K64+K69+K76</f>
        <v>40912643</v>
      </c>
    </row>
    <row r="94" spans="1:11" s="166" customFormat="1" ht="12.75" customHeight="1">
      <c r="A94" s="969" t="s">
        <v>147</v>
      </c>
      <c r="B94" s="127"/>
      <c r="C94" s="282" t="s">
        <v>321</v>
      </c>
      <c r="D94" s="127"/>
      <c r="E94" s="97">
        <f aca="true" t="shared" si="20" ref="E94:J94">E77</f>
        <v>276745000</v>
      </c>
      <c r="F94" s="97">
        <f t="shared" si="20"/>
        <v>281359235</v>
      </c>
      <c r="G94" s="97">
        <f t="shared" si="20"/>
        <v>277111346</v>
      </c>
      <c r="H94" s="97">
        <f t="shared" si="20"/>
        <v>277712085</v>
      </c>
      <c r="I94" s="97">
        <f t="shared" si="20"/>
        <v>277712085</v>
      </c>
      <c r="J94" s="97">
        <f t="shared" si="20"/>
        <v>278048647</v>
      </c>
      <c r="K94" s="97">
        <f>K77</f>
        <v>270216255</v>
      </c>
    </row>
    <row r="95" spans="1:11" s="166" customFormat="1" ht="12.75" customHeight="1">
      <c r="A95" s="969" t="s">
        <v>149</v>
      </c>
      <c r="B95" s="127"/>
      <c r="C95" s="282" t="s">
        <v>574</v>
      </c>
      <c r="D95" s="127"/>
      <c r="E95" s="97">
        <f aca="true" t="shared" si="21" ref="E95:J95">E83</f>
        <v>33438000</v>
      </c>
      <c r="F95" s="97">
        <f t="shared" si="21"/>
        <v>41078165</v>
      </c>
      <c r="G95" s="97">
        <f t="shared" si="21"/>
        <v>52854665</v>
      </c>
      <c r="H95" s="97">
        <f t="shared" si="21"/>
        <v>47279029</v>
      </c>
      <c r="I95" s="97">
        <f t="shared" si="21"/>
        <v>47279029</v>
      </c>
      <c r="J95" s="97">
        <f t="shared" si="21"/>
        <v>47279029</v>
      </c>
      <c r="K95" s="97">
        <f>K83</f>
        <v>715261087</v>
      </c>
    </row>
    <row r="96" spans="1:11" s="166" customFormat="1" ht="12.75" customHeight="1">
      <c r="A96" s="969" t="s">
        <v>151</v>
      </c>
      <c r="B96" s="127"/>
      <c r="C96" s="967" t="s">
        <v>774</v>
      </c>
      <c r="D96" s="127"/>
      <c r="E96" s="97">
        <f>SUM(E79)</f>
        <v>256000</v>
      </c>
      <c r="F96" s="97"/>
      <c r="G96" s="97"/>
      <c r="H96" s="97"/>
      <c r="I96" s="97"/>
      <c r="J96" s="97">
        <v>53488</v>
      </c>
      <c r="K96" s="97">
        <v>53488</v>
      </c>
    </row>
    <row r="97" spans="1:11" s="166" customFormat="1" ht="12.75" customHeight="1">
      <c r="A97" s="969" t="s">
        <v>209</v>
      </c>
      <c r="B97" s="127"/>
      <c r="C97" s="968" t="s">
        <v>776</v>
      </c>
      <c r="D97" s="127"/>
      <c r="E97" s="97">
        <f>SUM(E81)</f>
        <v>805000</v>
      </c>
      <c r="F97" s="97"/>
      <c r="G97" s="97"/>
      <c r="H97" s="97"/>
      <c r="I97" s="97"/>
      <c r="J97" s="97"/>
      <c r="K97" s="97"/>
    </row>
    <row r="98" spans="1:11" s="166" customFormat="1" ht="12.75" customHeight="1">
      <c r="A98" s="969" t="s">
        <v>211</v>
      </c>
      <c r="B98" s="127"/>
      <c r="C98" s="968" t="s">
        <v>775</v>
      </c>
      <c r="D98" s="127"/>
      <c r="E98" s="97">
        <f>SUM(E82)</f>
        <v>400000</v>
      </c>
      <c r="F98" s="97"/>
      <c r="G98" s="97"/>
      <c r="H98" s="97"/>
      <c r="I98" s="97"/>
      <c r="J98" s="97"/>
      <c r="K98" s="97"/>
    </row>
    <row r="99" spans="1:11" s="166" customFormat="1" ht="12.75" customHeight="1">
      <c r="A99" s="969" t="s">
        <v>279</v>
      </c>
      <c r="B99" s="127"/>
      <c r="C99" s="282" t="s">
        <v>287</v>
      </c>
      <c r="D99" s="127"/>
      <c r="E99" s="97">
        <f aca="true" t="shared" si="22" ref="E99:J99">E80</f>
        <v>10204000</v>
      </c>
      <c r="F99" s="97">
        <f t="shared" si="22"/>
        <v>6401277</v>
      </c>
      <c r="G99" s="97">
        <f t="shared" si="22"/>
        <v>7745538</v>
      </c>
      <c r="H99" s="97">
        <f t="shared" si="22"/>
        <v>8502671</v>
      </c>
      <c r="I99" s="97">
        <f t="shared" si="22"/>
        <v>8502671</v>
      </c>
      <c r="J99" s="97">
        <f t="shared" si="22"/>
        <v>9473678</v>
      </c>
      <c r="K99" s="97">
        <f>K80</f>
        <v>10321373</v>
      </c>
    </row>
    <row r="100" spans="1:11" s="166" customFormat="1" ht="12.75" customHeight="1">
      <c r="A100" s="969" t="s">
        <v>212</v>
      </c>
      <c r="B100" s="127"/>
      <c r="C100" s="282" t="s">
        <v>289</v>
      </c>
      <c r="D100" s="127"/>
      <c r="E100" s="97">
        <v>80000000</v>
      </c>
      <c r="F100" s="97">
        <f aca="true" t="shared" si="23" ref="F100:K100">SUM(F78)</f>
        <v>0</v>
      </c>
      <c r="G100" s="97">
        <f t="shared" si="23"/>
        <v>0</v>
      </c>
      <c r="H100" s="97">
        <f t="shared" si="23"/>
        <v>0</v>
      </c>
      <c r="I100" s="97">
        <f t="shared" si="23"/>
        <v>0</v>
      </c>
      <c r="J100" s="97">
        <f t="shared" si="23"/>
        <v>0</v>
      </c>
      <c r="K100" s="97">
        <f t="shared" si="23"/>
        <v>0</v>
      </c>
    </row>
    <row r="101" spans="1:11" s="166" customFormat="1" ht="12.75" customHeight="1">
      <c r="A101" s="969" t="s">
        <v>214</v>
      </c>
      <c r="B101" s="456"/>
      <c r="C101" s="460" t="s">
        <v>608</v>
      </c>
      <c r="D101" s="456"/>
      <c r="E101" s="457">
        <f aca="true" t="shared" si="24" ref="E101:J101">SUM(E90:E100)</f>
        <v>966955000</v>
      </c>
      <c r="F101" s="457">
        <f t="shared" si="24"/>
        <v>768297000</v>
      </c>
      <c r="G101" s="457">
        <f t="shared" si="24"/>
        <v>768366587</v>
      </c>
      <c r="H101" s="457">
        <f t="shared" si="24"/>
        <v>772773858</v>
      </c>
      <c r="I101" s="457">
        <f t="shared" si="24"/>
        <v>772773858</v>
      </c>
      <c r="J101" s="457">
        <f t="shared" si="24"/>
        <v>1142878737</v>
      </c>
      <c r="K101" s="457">
        <f>SUM(K90:K100)</f>
        <v>1469992150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6">
    <mergeCell ref="A1:K1"/>
    <mergeCell ref="E6:H6"/>
    <mergeCell ref="A7:B8"/>
    <mergeCell ref="C7:D7"/>
    <mergeCell ref="C8:D8"/>
    <mergeCell ref="A4:K4"/>
    <mergeCell ref="A3:K3"/>
    <mergeCell ref="A48:B49"/>
    <mergeCell ref="A2:E2"/>
    <mergeCell ref="A5:E5"/>
    <mergeCell ref="A6:C6"/>
    <mergeCell ref="C11:D11"/>
    <mergeCell ref="C10:D10"/>
    <mergeCell ref="C13:D13"/>
    <mergeCell ref="C15:D15"/>
    <mergeCell ref="C18:D18"/>
    <mergeCell ref="C34:D34"/>
    <mergeCell ref="C33:D33"/>
    <mergeCell ref="C32:D32"/>
    <mergeCell ref="C31:D31"/>
    <mergeCell ref="C19:D19"/>
    <mergeCell ref="C20:D20"/>
    <mergeCell ref="C23:D23"/>
    <mergeCell ref="C24:D24"/>
    <mergeCell ref="C25:D25"/>
    <mergeCell ref="C26:D26"/>
    <mergeCell ref="C41:D41"/>
    <mergeCell ref="C42:D42"/>
    <mergeCell ref="C43:D43"/>
    <mergeCell ref="C44:D44"/>
    <mergeCell ref="C30:D30"/>
    <mergeCell ref="C35:D35"/>
    <mergeCell ref="C36:D36"/>
    <mergeCell ref="C37:D37"/>
    <mergeCell ref="C38:D38"/>
    <mergeCell ref="C39:D39"/>
    <mergeCell ref="A47:F47"/>
    <mergeCell ref="C46:D46"/>
    <mergeCell ref="C28:D28"/>
    <mergeCell ref="C27:D27"/>
    <mergeCell ref="C14:D14"/>
    <mergeCell ref="C16:D16"/>
    <mergeCell ref="C21:D21"/>
    <mergeCell ref="C22:D22"/>
    <mergeCell ref="C45:D45"/>
    <mergeCell ref="C40:D40"/>
  </mergeCells>
  <printOptions horizontalCentered="1"/>
  <pageMargins left="0.5118110236220472" right="0.7480314960629921" top="0.1968503937007874" bottom="0.4330708661417323" header="0.5118110236220472" footer="0.15748031496062992"/>
  <pageSetup horizontalDpi="600" verticalDpi="600" orientation="portrait" paperSize="9" scale="61" r:id="rId1"/>
  <headerFooter alignWithMargins="0">
    <oddFooter>&amp;C&amp;P. oldal</oddFooter>
  </headerFooter>
  <rowBreaks count="1" manualBreakCount="1">
    <brk id="6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21" customWidth="1"/>
    <col min="2" max="2" width="37.57421875" style="21" customWidth="1"/>
    <col min="3" max="7" width="8.7109375" style="28" customWidth="1"/>
    <col min="8" max="16384" width="11.57421875" style="21" customWidth="1"/>
  </cols>
  <sheetData>
    <row r="1" ht="12.75" customHeight="1">
      <c r="F1" s="29" t="s">
        <v>30</v>
      </c>
    </row>
    <row r="2" ht="12.75" customHeight="1">
      <c r="E2" s="30" t="s">
        <v>1</v>
      </c>
    </row>
    <row r="3" ht="12.75" customHeight="1">
      <c r="C3" s="29"/>
    </row>
    <row r="4" spans="2:6" ht="22.5" customHeight="1">
      <c r="B4" s="1648" t="s">
        <v>31</v>
      </c>
      <c r="C4" s="1648"/>
      <c r="D4" s="1648"/>
      <c r="E4" s="1648"/>
      <c r="F4" s="1648"/>
    </row>
    <row r="5" spans="2:6" ht="14.25" customHeight="1">
      <c r="B5" s="31"/>
      <c r="C5" s="31"/>
      <c r="D5" s="31"/>
      <c r="E5" s="31"/>
      <c r="F5" s="31"/>
    </row>
    <row r="6" spans="2:7" ht="58.5" customHeight="1">
      <c r="B6" s="1649" t="s">
        <v>32</v>
      </c>
      <c r="C6" s="1649"/>
      <c r="D6" s="1649"/>
      <c r="E6" s="1649"/>
      <c r="F6" s="1649"/>
      <c r="G6" s="1649"/>
    </row>
    <row r="7" spans="2:3" ht="12.75" customHeight="1">
      <c r="B7" s="32"/>
      <c r="C7" s="33"/>
    </row>
    <row r="8" ht="12.75" customHeight="1">
      <c r="G8" s="34" t="s">
        <v>5</v>
      </c>
    </row>
    <row r="9" spans="1:7" ht="50.25" customHeight="1">
      <c r="A9" s="35" t="s">
        <v>33</v>
      </c>
      <c r="B9" s="36" t="s">
        <v>24</v>
      </c>
      <c r="C9" s="37" t="s">
        <v>34</v>
      </c>
      <c r="D9" s="37" t="s">
        <v>35</v>
      </c>
      <c r="E9" s="37" t="s">
        <v>36</v>
      </c>
      <c r="F9" s="37" t="s">
        <v>37</v>
      </c>
      <c r="G9" s="38" t="s">
        <v>25</v>
      </c>
    </row>
    <row r="10" spans="1:7" s="23" customFormat="1" ht="27.75" customHeight="1">
      <c r="A10" s="39" t="s">
        <v>38</v>
      </c>
      <c r="B10" s="40" t="s">
        <v>39</v>
      </c>
      <c r="C10" s="41">
        <v>132230</v>
      </c>
      <c r="D10" s="41">
        <v>137916</v>
      </c>
      <c r="E10" s="41">
        <v>143846</v>
      </c>
      <c r="F10" s="41">
        <v>150031</v>
      </c>
      <c r="G10" s="41">
        <f aca="true" t="shared" si="0" ref="G10:G18">SUM(C10:F10)</f>
        <v>564023</v>
      </c>
    </row>
    <row r="11" spans="1:7" s="23" customFormat="1" ht="27.75" customHeight="1">
      <c r="A11" s="42" t="s">
        <v>40</v>
      </c>
      <c r="B11" s="43" t="s">
        <v>41</v>
      </c>
      <c r="C11" s="44"/>
      <c r="D11" s="44"/>
      <c r="E11" s="44"/>
      <c r="F11" s="44"/>
      <c r="G11" s="41">
        <f t="shared" si="0"/>
        <v>0</v>
      </c>
    </row>
    <row r="12" spans="1:7" ht="15" customHeight="1">
      <c r="A12" s="27"/>
      <c r="B12" s="45" t="s">
        <v>42</v>
      </c>
      <c r="C12" s="46">
        <v>100</v>
      </c>
      <c r="D12" s="46">
        <v>105</v>
      </c>
      <c r="E12" s="46">
        <v>110</v>
      </c>
      <c r="F12" s="46">
        <v>115</v>
      </c>
      <c r="G12" s="41">
        <f t="shared" si="0"/>
        <v>430</v>
      </c>
    </row>
    <row r="13" spans="1:7" ht="15" customHeight="1">
      <c r="A13" s="27"/>
      <c r="B13" s="45" t="s">
        <v>43</v>
      </c>
      <c r="C13" s="46"/>
      <c r="D13" s="46"/>
      <c r="E13" s="46"/>
      <c r="F13" s="46"/>
      <c r="G13" s="41">
        <f t="shared" si="0"/>
        <v>0</v>
      </c>
    </row>
    <row r="14" spans="1:7" ht="15" customHeight="1">
      <c r="A14" s="27"/>
      <c r="B14" s="45" t="s">
        <v>44</v>
      </c>
      <c r="C14" s="46">
        <v>4385</v>
      </c>
      <c r="D14" s="46">
        <v>4574</v>
      </c>
      <c r="E14" s="46">
        <v>4770</v>
      </c>
      <c r="F14" s="46">
        <v>4980</v>
      </c>
      <c r="G14" s="41">
        <f t="shared" si="0"/>
        <v>18709</v>
      </c>
    </row>
    <row r="15" spans="1:7" ht="15" customHeight="1">
      <c r="A15" s="27"/>
      <c r="B15" s="45" t="s">
        <v>45</v>
      </c>
      <c r="C15" s="46">
        <v>1240</v>
      </c>
      <c r="D15" s="46">
        <v>1300</v>
      </c>
      <c r="E15" s="46">
        <v>1360</v>
      </c>
      <c r="F15" s="46">
        <v>1420</v>
      </c>
      <c r="G15" s="41">
        <f t="shared" si="0"/>
        <v>5320</v>
      </c>
    </row>
    <row r="16" spans="1:7" ht="15" customHeight="1">
      <c r="A16" s="27"/>
      <c r="B16" s="45" t="s">
        <v>46</v>
      </c>
      <c r="C16" s="46"/>
      <c r="D16" s="46"/>
      <c r="E16" s="46"/>
      <c r="F16" s="46"/>
      <c r="G16" s="41">
        <f t="shared" si="0"/>
        <v>0</v>
      </c>
    </row>
    <row r="17" spans="1:7" ht="27.75" customHeight="1">
      <c r="A17" s="27" t="s">
        <v>47</v>
      </c>
      <c r="B17" s="45" t="s">
        <v>48</v>
      </c>
      <c r="C17" s="46"/>
      <c r="D17" s="46"/>
      <c r="E17" s="46"/>
      <c r="F17" s="46"/>
      <c r="G17" s="41">
        <f t="shared" si="0"/>
        <v>0</v>
      </c>
    </row>
    <row r="18" spans="1:7" ht="27.75" customHeight="1">
      <c r="A18" s="27" t="s">
        <v>49</v>
      </c>
      <c r="B18" s="45" t="s">
        <v>50</v>
      </c>
      <c r="C18" s="46"/>
      <c r="D18" s="46"/>
      <c r="E18" s="46"/>
      <c r="F18" s="46"/>
      <c r="G18" s="41">
        <f t="shared" si="0"/>
        <v>0</v>
      </c>
    </row>
    <row r="19" spans="1:7" s="23" customFormat="1" ht="27.75" customHeight="1">
      <c r="A19" s="27" t="s">
        <v>51</v>
      </c>
      <c r="B19" s="43" t="s">
        <v>52</v>
      </c>
      <c r="C19" s="44">
        <f>SUM(C10:C18)</f>
        <v>137955</v>
      </c>
      <c r="D19" s="44">
        <f>SUM(D10:D18)</f>
        <v>143895</v>
      </c>
      <c r="E19" s="44">
        <f>SUM(E10:E18)</f>
        <v>150086</v>
      </c>
      <c r="F19" s="44">
        <f>SUM(F10:F18)</f>
        <v>156546</v>
      </c>
      <c r="G19" s="44">
        <f>SUM(G10:G18)</f>
        <v>588482</v>
      </c>
    </row>
    <row r="20" spans="1:7" s="23" customFormat="1" ht="27.75" customHeight="1">
      <c r="A20" s="27" t="s">
        <v>53</v>
      </c>
      <c r="B20" s="43" t="s">
        <v>54</v>
      </c>
      <c r="C20" s="47">
        <f>C19/2</f>
        <v>68977.5</v>
      </c>
      <c r="D20" s="47">
        <f>D19/2</f>
        <v>71947.5</v>
      </c>
      <c r="E20" s="44">
        <f>E19/2</f>
        <v>75043</v>
      </c>
      <c r="F20" s="44">
        <f>F19/2</f>
        <v>78273</v>
      </c>
      <c r="G20" s="44">
        <f>G19/2</f>
        <v>294241</v>
      </c>
    </row>
    <row r="21" spans="1:7" s="23" customFormat="1" ht="27.75" customHeight="1">
      <c r="A21" s="27" t="s">
        <v>55</v>
      </c>
      <c r="B21" s="43" t="s">
        <v>56</v>
      </c>
      <c r="C21" s="44">
        <f>SUM(C22:C24)</f>
        <v>0</v>
      </c>
      <c r="D21" s="44">
        <f>SUM(D22:D24)</f>
        <v>0</v>
      </c>
      <c r="E21" s="44">
        <f>SUM(E22:E24)</f>
        <v>0</v>
      </c>
      <c r="F21" s="44">
        <f>SUM(F22:F24)</f>
        <v>0</v>
      </c>
      <c r="G21" s="44">
        <f>SUM(G22:G24)</f>
        <v>0</v>
      </c>
    </row>
    <row r="22" spans="1:7" ht="27.75" customHeight="1">
      <c r="A22" s="27" t="s">
        <v>57</v>
      </c>
      <c r="B22" s="45" t="s">
        <v>58</v>
      </c>
      <c r="C22" s="46"/>
      <c r="D22" s="46"/>
      <c r="E22" s="46"/>
      <c r="F22" s="46"/>
      <c r="G22" s="48">
        <f>SUM(C22:F22)</f>
        <v>0</v>
      </c>
    </row>
    <row r="23" spans="1:7" ht="27.75" customHeight="1">
      <c r="A23" s="27" t="s">
        <v>59</v>
      </c>
      <c r="B23" s="45" t="s">
        <v>60</v>
      </c>
      <c r="C23" s="46"/>
      <c r="D23" s="46"/>
      <c r="E23" s="46"/>
      <c r="F23" s="46"/>
      <c r="G23" s="48">
        <f>SUM(C23:F23)</f>
        <v>0</v>
      </c>
    </row>
    <row r="24" spans="1:7" ht="26.25" customHeight="1">
      <c r="A24" s="27" t="s">
        <v>61</v>
      </c>
      <c r="B24" s="45" t="s">
        <v>62</v>
      </c>
      <c r="C24" s="46"/>
      <c r="D24" s="46"/>
      <c r="E24" s="46"/>
      <c r="F24" s="46"/>
      <c r="G24" s="48">
        <f>SUM(C24:F24)</f>
        <v>0</v>
      </c>
    </row>
    <row r="25" spans="1:7" ht="26.25" customHeight="1">
      <c r="A25" s="27" t="s">
        <v>63</v>
      </c>
      <c r="B25" s="43" t="s">
        <v>64</v>
      </c>
      <c r="C25" s="44">
        <f>SUM(C26:C28)</f>
        <v>0</v>
      </c>
      <c r="D25" s="44">
        <f>SUM(D26:D28)</f>
        <v>0</v>
      </c>
      <c r="E25" s="44">
        <f>SUM(E26:E28)</f>
        <v>0</v>
      </c>
      <c r="F25" s="44">
        <f>SUM(F26:F28)</f>
        <v>0</v>
      </c>
      <c r="G25" s="44">
        <f>SUM(G26:G28)</f>
        <v>0</v>
      </c>
    </row>
    <row r="26" spans="1:7" ht="12.75" customHeight="1">
      <c r="A26" s="27" t="s">
        <v>65</v>
      </c>
      <c r="B26" s="45" t="s">
        <v>58</v>
      </c>
      <c r="C26" s="46"/>
      <c r="D26" s="46"/>
      <c r="E26" s="46"/>
      <c r="F26" s="46"/>
      <c r="G26" s="48">
        <f>SUM(C26:F26)</f>
        <v>0</v>
      </c>
    </row>
    <row r="27" spans="1:7" ht="12.75" customHeight="1">
      <c r="A27" s="27" t="s">
        <v>66</v>
      </c>
      <c r="B27" s="45" t="s">
        <v>60</v>
      </c>
      <c r="C27" s="46"/>
      <c r="D27" s="46"/>
      <c r="E27" s="46"/>
      <c r="F27" s="46"/>
      <c r="G27" s="48">
        <f>SUM(C27:F27)</f>
        <v>0</v>
      </c>
    </row>
    <row r="28" spans="1:7" ht="26.25" customHeight="1">
      <c r="A28" s="27" t="s">
        <v>67</v>
      </c>
      <c r="B28" s="45" t="s">
        <v>62</v>
      </c>
      <c r="C28" s="46"/>
      <c r="D28" s="46"/>
      <c r="E28" s="46"/>
      <c r="F28" s="46"/>
      <c r="G28" s="48">
        <f>SUM(C28:F28)</f>
        <v>0</v>
      </c>
    </row>
    <row r="29" spans="1:7" s="23" customFormat="1" ht="12.75" customHeight="1">
      <c r="A29" s="27" t="s">
        <v>68</v>
      </c>
      <c r="B29" s="43" t="s">
        <v>69</v>
      </c>
      <c r="C29" s="44">
        <f>C21+C25</f>
        <v>0</v>
      </c>
      <c r="D29" s="44">
        <f>D21+D25</f>
        <v>0</v>
      </c>
      <c r="E29" s="44">
        <f>E21+E25</f>
        <v>0</v>
      </c>
      <c r="F29" s="44">
        <f>F21+F25</f>
        <v>0</v>
      </c>
      <c r="G29" s="44">
        <f>G21+G25</f>
        <v>0</v>
      </c>
    </row>
    <row r="30" spans="1:7" ht="26.25" customHeight="1">
      <c r="A30" s="27" t="s">
        <v>70</v>
      </c>
      <c r="B30" s="43" t="s">
        <v>71</v>
      </c>
      <c r="C30" s="47">
        <f>C20-C29</f>
        <v>68977.5</v>
      </c>
      <c r="D30" s="47">
        <f>D20-D29</f>
        <v>71947.5</v>
      </c>
      <c r="E30" s="44">
        <f>E20-E29</f>
        <v>75043</v>
      </c>
      <c r="F30" s="44">
        <f>F20-F29</f>
        <v>78273</v>
      </c>
      <c r="G30" s="44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21" customWidth="1"/>
    <col min="2" max="2" width="42.8515625" style="21" customWidth="1"/>
    <col min="3" max="3" width="12.00390625" style="21" customWidth="1"/>
    <col min="4" max="4" width="11.140625" style="21" customWidth="1"/>
    <col min="5" max="5" width="11.00390625" style="21" customWidth="1"/>
    <col min="6" max="16384" width="9.140625" style="21" customWidth="1"/>
  </cols>
  <sheetData>
    <row r="1" spans="4:5" ht="12.75" customHeight="1">
      <c r="D1" s="1651" t="s">
        <v>72</v>
      </c>
      <c r="E1" s="1651"/>
    </row>
    <row r="2" spans="2:5" ht="12.75" customHeight="1">
      <c r="B2" s="1647" t="s">
        <v>1</v>
      </c>
      <c r="C2" s="1647"/>
      <c r="D2" s="1647"/>
      <c r="E2" s="1647"/>
    </row>
    <row r="3" spans="2:5" ht="12.75" customHeight="1">
      <c r="B3" s="49"/>
      <c r="C3" s="49"/>
      <c r="D3" s="49"/>
      <c r="E3" s="49"/>
    </row>
    <row r="4" spans="2:5" ht="12.75" customHeight="1">
      <c r="B4" s="1652" t="s">
        <v>73</v>
      </c>
      <c r="C4" s="1652"/>
      <c r="D4" s="1652"/>
      <c r="E4" s="1652"/>
    </row>
    <row r="5" spans="2:5" ht="12.75" customHeight="1">
      <c r="B5" s="1652" t="s">
        <v>74</v>
      </c>
      <c r="C5" s="1652"/>
      <c r="D5" s="1652"/>
      <c r="E5" s="1652"/>
    </row>
    <row r="6" spans="4:5" ht="12.75" customHeight="1">
      <c r="D6" s="1651"/>
      <c r="E6" s="1651"/>
    </row>
    <row r="7" spans="4:5" ht="12.75" customHeight="1">
      <c r="D7" s="1653" t="s">
        <v>5</v>
      </c>
      <c r="E7" s="1653"/>
    </row>
    <row r="8" spans="1:5" ht="12.75" customHeight="1">
      <c r="A8" s="1650" t="s">
        <v>24</v>
      </c>
      <c r="B8" s="1650"/>
      <c r="C8" s="50" t="s">
        <v>75</v>
      </c>
      <c r="D8" s="50" t="s">
        <v>76</v>
      </c>
      <c r="E8" s="50" t="s">
        <v>77</v>
      </c>
    </row>
    <row r="9" spans="1:5" ht="12.75" customHeight="1">
      <c r="A9" s="51" t="s">
        <v>38</v>
      </c>
      <c r="B9" s="52" t="s">
        <v>78</v>
      </c>
      <c r="C9" s="53"/>
      <c r="D9" s="53"/>
      <c r="E9" s="53"/>
    </row>
    <row r="10" spans="1:5" ht="12.75" customHeight="1">
      <c r="A10" s="27" t="s">
        <v>40</v>
      </c>
      <c r="B10" s="53" t="s">
        <v>79</v>
      </c>
      <c r="C10" s="54">
        <v>30602</v>
      </c>
      <c r="D10" s="54">
        <f>C10*1.043</f>
        <v>31917.886</v>
      </c>
      <c r="E10" s="54">
        <f>D10*1.043</f>
        <v>33290.35509799999</v>
      </c>
    </row>
    <row r="11" spans="1:5" ht="12.75" customHeight="1">
      <c r="A11" s="51" t="s">
        <v>47</v>
      </c>
      <c r="B11" s="53" t="s">
        <v>80</v>
      </c>
      <c r="C11" s="54"/>
      <c r="D11" s="54"/>
      <c r="E11" s="54"/>
    </row>
    <row r="12" spans="1:5" ht="12.75" customHeight="1">
      <c r="A12" s="27" t="s">
        <v>49</v>
      </c>
      <c r="B12" s="53" t="s">
        <v>81</v>
      </c>
      <c r="C12" s="54"/>
      <c r="D12" s="54"/>
      <c r="E12" s="54"/>
    </row>
    <row r="13" spans="1:5" ht="12.75" customHeight="1">
      <c r="A13" s="51" t="s">
        <v>51</v>
      </c>
      <c r="B13" s="53" t="s">
        <v>82</v>
      </c>
      <c r="C13" s="54"/>
      <c r="D13" s="54"/>
      <c r="E13" s="54"/>
    </row>
    <row r="14" spans="1:5" ht="12.75" customHeight="1">
      <c r="A14" s="27" t="s">
        <v>53</v>
      </c>
      <c r="B14" s="53" t="s">
        <v>83</v>
      </c>
      <c r="C14" s="54"/>
      <c r="D14" s="54"/>
      <c r="E14" s="54"/>
    </row>
    <row r="15" spans="1:5" ht="12.75" customHeight="1">
      <c r="A15" s="51" t="s">
        <v>55</v>
      </c>
      <c r="B15" s="25" t="s">
        <v>84</v>
      </c>
      <c r="C15" s="54"/>
      <c r="D15" s="54"/>
      <c r="E15" s="54"/>
    </row>
    <row r="16" spans="1:5" ht="12.75" customHeight="1">
      <c r="A16" s="27" t="s">
        <v>57</v>
      </c>
      <c r="B16" s="53" t="s">
        <v>85</v>
      </c>
      <c r="C16" s="54">
        <v>27004</v>
      </c>
      <c r="D16" s="54">
        <f>C16*1.043</f>
        <v>28165.172</v>
      </c>
      <c r="E16" s="54">
        <f>D16*1.043</f>
        <v>29376.274395999997</v>
      </c>
    </row>
    <row r="17" spans="1:5" ht="12.75" customHeight="1">
      <c r="A17" s="51" t="s">
        <v>86</v>
      </c>
      <c r="B17" s="53" t="s">
        <v>87</v>
      </c>
      <c r="C17" s="54"/>
      <c r="D17" s="54"/>
      <c r="E17" s="54"/>
    </row>
    <row r="18" spans="1:5" ht="12.75" customHeight="1">
      <c r="A18" s="27" t="s">
        <v>59</v>
      </c>
      <c r="B18" s="53" t="s">
        <v>88</v>
      </c>
      <c r="C18" s="54"/>
      <c r="D18" s="54"/>
      <c r="E18" s="54"/>
    </row>
    <row r="19" spans="1:5" ht="12.75" customHeight="1">
      <c r="A19" s="51" t="s">
        <v>61</v>
      </c>
      <c r="B19" s="53" t="s">
        <v>89</v>
      </c>
      <c r="C19" s="54">
        <v>166778</v>
      </c>
      <c r="D19" s="54">
        <f>C19*1.043</f>
        <v>173949.454</v>
      </c>
      <c r="E19" s="54">
        <f>D19*1.043</f>
        <v>181429.280522</v>
      </c>
    </row>
    <row r="20" spans="1:5" ht="12.75" customHeight="1">
      <c r="A20" s="27" t="s">
        <v>63</v>
      </c>
      <c r="B20" s="25" t="s">
        <v>90</v>
      </c>
      <c r="C20" s="54"/>
      <c r="D20" s="54"/>
      <c r="E20" s="54"/>
    </row>
    <row r="21" spans="1:5" ht="12.75" customHeight="1">
      <c r="A21" s="51" t="s">
        <v>65</v>
      </c>
      <c r="B21" s="53" t="s">
        <v>91</v>
      </c>
      <c r="C21" s="54"/>
      <c r="D21" s="54"/>
      <c r="E21" s="54"/>
    </row>
    <row r="22" spans="1:5" ht="12.75" customHeight="1">
      <c r="A22" s="27" t="s">
        <v>92</v>
      </c>
      <c r="B22" s="53" t="s">
        <v>39</v>
      </c>
      <c r="C22" s="54">
        <v>132230</v>
      </c>
      <c r="D22" s="54">
        <f aca="true" t="shared" si="0" ref="D22:E24">C22*1.043</f>
        <v>137915.88999999998</v>
      </c>
      <c r="E22" s="54">
        <f t="shared" si="0"/>
        <v>143846.27326999998</v>
      </c>
    </row>
    <row r="23" spans="1:5" ht="12.75" customHeight="1">
      <c r="A23" s="51" t="s">
        <v>66</v>
      </c>
      <c r="B23" s="53" t="s">
        <v>93</v>
      </c>
      <c r="C23" s="54">
        <v>6045</v>
      </c>
      <c r="D23" s="54">
        <f t="shared" si="0"/>
        <v>6304.9349999999995</v>
      </c>
      <c r="E23" s="54">
        <f t="shared" si="0"/>
        <v>6576.047204999999</v>
      </c>
    </row>
    <row r="24" spans="1:5" ht="12.75" customHeight="1">
      <c r="A24" s="27" t="s">
        <v>67</v>
      </c>
      <c r="B24" s="53" t="s">
        <v>94</v>
      </c>
      <c r="C24" s="54">
        <v>8000</v>
      </c>
      <c r="D24" s="54">
        <f t="shared" si="0"/>
        <v>8344</v>
      </c>
      <c r="E24" s="54">
        <f t="shared" si="0"/>
        <v>8702.792</v>
      </c>
    </row>
    <row r="25" spans="1:5" ht="12.75" customHeight="1">
      <c r="A25" s="51" t="s">
        <v>68</v>
      </c>
      <c r="B25" s="53" t="s">
        <v>95</v>
      </c>
      <c r="C25" s="54"/>
      <c r="D25" s="54"/>
      <c r="E25" s="54"/>
    </row>
    <row r="26" spans="1:5" ht="12.75" customHeight="1">
      <c r="A26" s="27" t="s">
        <v>70</v>
      </c>
      <c r="B26" s="53" t="s">
        <v>96</v>
      </c>
      <c r="C26" s="54">
        <v>100</v>
      </c>
      <c r="D26" s="54">
        <f>C26*1.043</f>
        <v>104.3</v>
      </c>
      <c r="E26" s="54">
        <f>D26*1.043</f>
        <v>108.7849</v>
      </c>
    </row>
    <row r="27" spans="1:5" ht="12.75" customHeight="1">
      <c r="A27" s="51" t="s">
        <v>97</v>
      </c>
      <c r="B27" s="25" t="s">
        <v>98</v>
      </c>
      <c r="C27" s="54"/>
      <c r="D27" s="54"/>
      <c r="E27" s="54"/>
    </row>
    <row r="28" spans="1:5" ht="12.75" customHeight="1">
      <c r="A28" s="27" t="s">
        <v>99</v>
      </c>
      <c r="B28" s="53" t="s">
        <v>100</v>
      </c>
      <c r="C28" s="54"/>
      <c r="D28" s="54"/>
      <c r="E28" s="54"/>
    </row>
    <row r="29" spans="1:5" ht="12.75" customHeight="1">
      <c r="A29" s="51" t="s">
        <v>101</v>
      </c>
      <c r="B29" s="53" t="s">
        <v>102</v>
      </c>
      <c r="C29" s="54"/>
      <c r="D29" s="54"/>
      <c r="E29" s="54"/>
    </row>
    <row r="30" spans="1:5" ht="12.75" customHeight="1">
      <c r="A30" s="27" t="s">
        <v>103</v>
      </c>
      <c r="B30" s="53" t="s">
        <v>104</v>
      </c>
      <c r="C30" s="54"/>
      <c r="D30" s="54"/>
      <c r="E30" s="54"/>
    </row>
    <row r="31" spans="1:5" ht="12.75" customHeight="1">
      <c r="A31" s="51" t="s">
        <v>105</v>
      </c>
      <c r="B31" s="25" t="s">
        <v>106</v>
      </c>
      <c r="C31" s="54"/>
      <c r="D31" s="54"/>
      <c r="E31" s="54"/>
    </row>
    <row r="32" spans="1:5" ht="12.75" customHeight="1">
      <c r="A32" s="27" t="s">
        <v>107</v>
      </c>
      <c r="B32" s="53" t="s">
        <v>108</v>
      </c>
      <c r="C32" s="54">
        <v>60</v>
      </c>
      <c r="D32" s="54">
        <f>C32*1.043</f>
        <v>62.58</v>
      </c>
      <c r="E32" s="54">
        <f>D32*1.043</f>
        <v>65.27094</v>
      </c>
    </row>
    <row r="33" spans="1:5" ht="12.75" customHeight="1">
      <c r="A33" s="51" t="s">
        <v>109</v>
      </c>
      <c r="B33" s="53" t="s">
        <v>110</v>
      </c>
      <c r="C33" s="54"/>
      <c r="D33" s="54"/>
      <c r="E33" s="54"/>
    </row>
    <row r="34" spans="1:5" ht="12.75" customHeight="1">
      <c r="A34" s="27" t="s">
        <v>111</v>
      </c>
      <c r="B34" s="53" t="s">
        <v>112</v>
      </c>
      <c r="C34" s="54">
        <v>40</v>
      </c>
      <c r="D34" s="54">
        <f>C34*1.043</f>
        <v>41.72</v>
      </c>
      <c r="E34" s="54">
        <f>D34*1.043</f>
        <v>43.51396</v>
      </c>
    </row>
    <row r="35" spans="1:5" ht="12.75" customHeight="1">
      <c r="A35" s="51" t="s">
        <v>113</v>
      </c>
      <c r="B35" s="53" t="s">
        <v>114</v>
      </c>
      <c r="C35" s="54">
        <v>60000</v>
      </c>
      <c r="D35" s="54">
        <f>C54</f>
        <v>52500</v>
      </c>
      <c r="E35" s="54">
        <f>D54</f>
        <v>56359</v>
      </c>
    </row>
    <row r="36" spans="1:5" ht="12.75" customHeight="1">
      <c r="A36" s="27" t="s">
        <v>115</v>
      </c>
      <c r="B36" s="25" t="s">
        <v>116</v>
      </c>
      <c r="C36" s="55">
        <f>SUM(C9:C35)</f>
        <v>430859</v>
      </c>
      <c r="D36" s="55">
        <f>SUM(D9:D35)</f>
        <v>439305.937</v>
      </c>
      <c r="E36" s="55">
        <f>SUM(E9:E35)</f>
        <v>459797.592291</v>
      </c>
    </row>
    <row r="37" spans="1:5" ht="12.75" customHeight="1">
      <c r="A37" s="51" t="s">
        <v>117</v>
      </c>
      <c r="B37" s="53"/>
      <c r="C37" s="54"/>
      <c r="D37" s="54"/>
      <c r="E37" s="54"/>
    </row>
    <row r="38" spans="1:5" ht="12.75" customHeight="1">
      <c r="A38" s="27" t="s">
        <v>118</v>
      </c>
      <c r="B38" s="25" t="s">
        <v>119</v>
      </c>
      <c r="C38" s="54"/>
      <c r="D38" s="54"/>
      <c r="E38" s="54"/>
    </row>
    <row r="39" spans="1:5" ht="12.75" customHeight="1">
      <c r="A39" s="51" t="s">
        <v>120</v>
      </c>
      <c r="B39" s="53" t="s">
        <v>121</v>
      </c>
      <c r="C39" s="54">
        <v>169901</v>
      </c>
      <c r="D39" s="54">
        <f aca="true" t="shared" si="1" ref="D39:E43">C39*1.043</f>
        <v>177206.743</v>
      </c>
      <c r="E39" s="54">
        <f t="shared" si="1"/>
        <v>184826.63294899996</v>
      </c>
    </row>
    <row r="40" spans="1:5" ht="12.75" customHeight="1">
      <c r="A40" s="27" t="s">
        <v>122</v>
      </c>
      <c r="B40" s="53" t="s">
        <v>123</v>
      </c>
      <c r="C40" s="54">
        <v>43754</v>
      </c>
      <c r="D40" s="54">
        <f t="shared" si="1"/>
        <v>45635.422</v>
      </c>
      <c r="E40" s="54">
        <f t="shared" si="1"/>
        <v>47597.745145999994</v>
      </c>
    </row>
    <row r="41" spans="1:5" ht="12.75" customHeight="1">
      <c r="A41" s="51" t="s">
        <v>124</v>
      </c>
      <c r="B41" s="53" t="s">
        <v>125</v>
      </c>
      <c r="C41" s="54">
        <v>134174</v>
      </c>
      <c r="D41" s="54">
        <f t="shared" si="1"/>
        <v>139943.482</v>
      </c>
      <c r="E41" s="54">
        <f t="shared" si="1"/>
        <v>145961.05172599998</v>
      </c>
    </row>
    <row r="42" spans="1:5" ht="12.75" customHeight="1">
      <c r="A42" s="27" t="s">
        <v>126</v>
      </c>
      <c r="B42" s="53" t="s">
        <v>127</v>
      </c>
      <c r="C42" s="54">
        <v>8850</v>
      </c>
      <c r="D42" s="54">
        <f t="shared" si="1"/>
        <v>9230.55</v>
      </c>
      <c r="E42" s="54">
        <f t="shared" si="1"/>
        <v>9627.463649999998</v>
      </c>
    </row>
    <row r="43" spans="1:5" ht="12.75" customHeight="1">
      <c r="A43" s="51" t="s">
        <v>128</v>
      </c>
      <c r="B43" s="53" t="s">
        <v>129</v>
      </c>
      <c r="C43" s="54">
        <v>10480</v>
      </c>
      <c r="D43" s="54">
        <f t="shared" si="1"/>
        <v>10930.64</v>
      </c>
      <c r="E43" s="54">
        <f t="shared" si="1"/>
        <v>11400.657519999999</v>
      </c>
    </row>
    <row r="44" spans="1:5" ht="12.75" customHeight="1">
      <c r="A44" s="27" t="s">
        <v>130</v>
      </c>
      <c r="B44" s="25" t="s">
        <v>15</v>
      </c>
      <c r="C44" s="54"/>
      <c r="D44" s="54"/>
      <c r="E44" s="54"/>
    </row>
    <row r="45" spans="1:5" ht="12.75" customHeight="1">
      <c r="A45" s="51" t="s">
        <v>131</v>
      </c>
      <c r="B45" s="53" t="s">
        <v>132</v>
      </c>
      <c r="C45" s="54">
        <v>1000</v>
      </c>
      <c r="D45" s="54"/>
      <c r="E45" s="54"/>
    </row>
    <row r="46" spans="1:5" ht="12.75" customHeight="1">
      <c r="A46" s="27" t="s">
        <v>133</v>
      </c>
      <c r="B46" s="53" t="s">
        <v>134</v>
      </c>
      <c r="C46" s="54">
        <v>10200</v>
      </c>
      <c r="D46" s="54"/>
      <c r="E46" s="54"/>
    </row>
    <row r="47" spans="1:5" ht="12.75" customHeight="1">
      <c r="A47" s="51" t="s">
        <v>135</v>
      </c>
      <c r="B47" s="53" t="s">
        <v>136</v>
      </c>
      <c r="C47" s="54"/>
      <c r="D47" s="54"/>
      <c r="E47" s="54"/>
    </row>
    <row r="48" spans="1:5" ht="12.75" customHeight="1">
      <c r="A48" s="27" t="s">
        <v>137</v>
      </c>
      <c r="B48" s="53" t="s">
        <v>138</v>
      </c>
      <c r="C48" s="54"/>
      <c r="D48" s="54"/>
      <c r="E48" s="54"/>
    </row>
    <row r="49" spans="1:5" ht="12.75" customHeight="1">
      <c r="A49" s="51" t="s">
        <v>139</v>
      </c>
      <c r="B49" s="53" t="s">
        <v>140</v>
      </c>
      <c r="C49" s="54"/>
      <c r="D49" s="54"/>
      <c r="E49" s="54"/>
    </row>
    <row r="50" spans="1:5" ht="12.75" customHeight="1">
      <c r="A50" s="27" t="s">
        <v>141</v>
      </c>
      <c r="B50" s="53" t="s">
        <v>142</v>
      </c>
      <c r="C50" s="54"/>
      <c r="D50" s="54"/>
      <c r="E50" s="54"/>
    </row>
    <row r="51" spans="1:5" ht="12.75" customHeight="1">
      <c r="A51" s="51" t="s">
        <v>143</v>
      </c>
      <c r="B51" s="53" t="s">
        <v>144</v>
      </c>
      <c r="C51" s="54"/>
      <c r="D51" s="54"/>
      <c r="E51" s="54"/>
    </row>
    <row r="52" spans="1:5" ht="12.75" customHeight="1">
      <c r="A52" s="27" t="s">
        <v>145</v>
      </c>
      <c r="B52" s="53" t="s">
        <v>146</v>
      </c>
      <c r="C52" s="54"/>
      <c r="D52" s="54"/>
      <c r="E52" s="54"/>
    </row>
    <row r="53" spans="1:5" ht="12.75" customHeight="1">
      <c r="A53" s="51" t="s">
        <v>147</v>
      </c>
      <c r="B53" s="53" t="s">
        <v>148</v>
      </c>
      <c r="C53" s="54"/>
      <c r="D53" s="54"/>
      <c r="E53" s="54"/>
    </row>
    <row r="54" spans="1:5" ht="12.75" customHeight="1">
      <c r="A54" s="27" t="s">
        <v>149</v>
      </c>
      <c r="B54" s="25" t="s">
        <v>150</v>
      </c>
      <c r="C54" s="54">
        <v>52500</v>
      </c>
      <c r="D54" s="54">
        <v>56359</v>
      </c>
      <c r="E54" s="54">
        <v>60384</v>
      </c>
    </row>
    <row r="55" spans="1:5" ht="12.75" customHeight="1">
      <c r="A55" s="51" t="s">
        <v>151</v>
      </c>
      <c r="B55" s="25" t="s">
        <v>152</v>
      </c>
      <c r="C55" s="55">
        <f>SUM(C39:C54)</f>
        <v>430859</v>
      </c>
      <c r="D55" s="55">
        <f>SUM(D39:D54)</f>
        <v>439305.837</v>
      </c>
      <c r="E55" s="55">
        <f>SUM(E39:E54)</f>
        <v>459797.55099099997</v>
      </c>
    </row>
    <row r="57" spans="4:5" ht="12.75" customHeight="1">
      <c r="D57" s="24">
        <f>D55-D36</f>
        <v>-0.09999999997671694</v>
      </c>
      <c r="E57" s="24">
        <f>E55-E36</f>
        <v>-0.04130000004079193</v>
      </c>
    </row>
    <row r="59" ht="12.75" customHeight="1">
      <c r="C59" s="21">
        <v>430859</v>
      </c>
    </row>
    <row r="60" ht="12.75" customHeight="1">
      <c r="C60" s="24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63"/>
  <sheetViews>
    <sheetView showGridLines="0" view="pageBreakPreview" zoomScaleSheetLayoutView="100" workbookViewId="0" topLeftCell="A1">
      <selection activeCell="C3" sqref="C3:J3"/>
    </sheetView>
  </sheetViews>
  <sheetFormatPr defaultColWidth="11.7109375" defaultRowHeight="12.75" customHeight="1"/>
  <cols>
    <col min="1" max="2" width="3.8515625" style="56" customWidth="1"/>
    <col min="3" max="3" width="60.140625" style="56" customWidth="1"/>
    <col min="4" max="4" width="18.57421875" style="57" customWidth="1"/>
    <col min="5" max="5" width="18.421875" style="57" customWidth="1"/>
    <col min="6" max="7" width="18.7109375" style="57" customWidth="1"/>
    <col min="8" max="8" width="13.57421875" style="58" hidden="1" customWidth="1"/>
    <col min="9" max="10" width="18.7109375" style="57" customWidth="1"/>
    <col min="11" max="11" width="22.140625" style="57" customWidth="1"/>
    <col min="12" max="16384" width="11.7109375" style="56" customWidth="1"/>
  </cols>
  <sheetData>
    <row r="1" spans="1:11" ht="12.75" customHeight="1">
      <c r="A1" s="1655" t="s">
        <v>153</v>
      </c>
      <c r="B1" s="1655"/>
      <c r="C1" s="1655"/>
      <c r="D1" s="1655"/>
      <c r="E1" s="1655"/>
      <c r="F1" s="1655"/>
      <c r="G1" s="1655"/>
      <c r="H1" s="1655"/>
      <c r="I1" s="1655"/>
      <c r="J1" s="1655"/>
      <c r="K1" s="56"/>
    </row>
    <row r="2" spans="1:11" ht="12.75" customHeight="1">
      <c r="A2" s="1666" t="s">
        <v>1133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</row>
    <row r="3" spans="1:11" ht="12.75" customHeight="1">
      <c r="A3" s="59"/>
      <c r="B3" s="59"/>
      <c r="C3" s="1654" t="s">
        <v>1131</v>
      </c>
      <c r="D3" s="1654"/>
      <c r="E3" s="1654"/>
      <c r="F3" s="1654"/>
      <c r="G3" s="1654"/>
      <c r="H3" s="1654"/>
      <c r="I3" s="1654"/>
      <c r="J3" s="1654"/>
      <c r="K3" s="59"/>
    </row>
    <row r="4" spans="1:11" ht="26.25" customHeight="1">
      <c r="A4" s="59"/>
      <c r="B4" s="1654" t="s">
        <v>2</v>
      </c>
      <c r="C4" s="1654"/>
      <c r="D4" s="1654"/>
      <c r="E4" s="1654"/>
      <c r="F4" s="1654"/>
      <c r="G4" s="1654"/>
      <c r="H4" s="1654"/>
      <c r="I4" s="1654"/>
      <c r="J4" s="1654"/>
      <c r="K4" s="1654"/>
    </row>
    <row r="5" spans="1:11" ht="12.75" customHeight="1">
      <c r="A5" s="1654" t="s">
        <v>154</v>
      </c>
      <c r="B5" s="1654"/>
      <c r="C5" s="1654"/>
      <c r="D5" s="1654"/>
      <c r="E5" s="1654"/>
      <c r="F5" s="1654"/>
      <c r="G5" s="1654"/>
      <c r="H5" s="1654"/>
      <c r="I5" s="1654"/>
      <c r="J5" s="1654"/>
      <c r="K5" s="1654"/>
    </row>
    <row r="6" spans="1:11" ht="12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.75" customHeight="1" thickBot="1">
      <c r="A7" s="59"/>
      <c r="B7" s="59"/>
      <c r="C7" s="59"/>
      <c r="D7" s="59"/>
      <c r="E7" s="1667" t="s">
        <v>155</v>
      </c>
      <c r="F7" s="1667"/>
      <c r="G7" s="1667"/>
      <c r="H7" s="1667"/>
      <c r="I7" s="1667"/>
      <c r="J7" s="1667"/>
      <c r="K7" s="1667"/>
    </row>
    <row r="8" spans="1:11" ht="46.5" customHeight="1" thickBot="1">
      <c r="A8" s="1662" t="s">
        <v>156</v>
      </c>
      <c r="B8" s="1663"/>
      <c r="C8" s="1541" t="s">
        <v>157</v>
      </c>
      <c r="D8" s="780" t="s">
        <v>158</v>
      </c>
      <c r="E8" s="780" t="s">
        <v>159</v>
      </c>
      <c r="F8" s="1596" t="s">
        <v>793</v>
      </c>
      <c r="G8" s="1596" t="s">
        <v>803</v>
      </c>
      <c r="H8" s="1597" t="s">
        <v>160</v>
      </c>
      <c r="I8" s="1596" t="s">
        <v>885</v>
      </c>
      <c r="J8" s="1596" t="s">
        <v>891</v>
      </c>
      <c r="K8" s="570" t="s">
        <v>947</v>
      </c>
    </row>
    <row r="9" spans="1:11" ht="12.75" customHeight="1" thickBot="1">
      <c r="A9" s="1664"/>
      <c r="B9" s="1665"/>
      <c r="C9" s="571" t="s">
        <v>161</v>
      </c>
      <c r="D9" s="572" t="s">
        <v>162</v>
      </c>
      <c r="E9" s="572" t="s">
        <v>163</v>
      </c>
      <c r="F9" s="1598" t="s">
        <v>164</v>
      </c>
      <c r="G9" s="1598" t="s">
        <v>505</v>
      </c>
      <c r="H9" s="1599" t="s">
        <v>505</v>
      </c>
      <c r="I9" s="1598" t="s">
        <v>525</v>
      </c>
      <c r="J9" s="1598" t="s">
        <v>804</v>
      </c>
      <c r="K9" s="573" t="s">
        <v>890</v>
      </c>
    </row>
    <row r="10" spans="1:11" s="67" customFormat="1" ht="12.75" customHeight="1">
      <c r="A10" s="63" t="s">
        <v>38</v>
      </c>
      <c r="B10" s="64"/>
      <c r="C10" s="65" t="s">
        <v>165</v>
      </c>
      <c r="D10" s="970">
        <f>SUM('19 önkormányzat'!E15)</f>
        <v>185145000</v>
      </c>
      <c r="E10" s="398">
        <f>SUM('19 önkormányzat'!F15)</f>
        <v>182667079</v>
      </c>
      <c r="F10" s="398">
        <f>SUM('19 önkormányzat'!G15)</f>
        <v>186602445</v>
      </c>
      <c r="G10" s="398">
        <f>SUM('19 önkormányzat'!H15)</f>
        <v>189166044</v>
      </c>
      <c r="H10" s="398">
        <f>SUM('19 önkormányzat'!I15)</f>
        <v>189166044</v>
      </c>
      <c r="I10" s="398">
        <f>SUM('19 önkormányzat'!I15)</f>
        <v>189166044</v>
      </c>
      <c r="J10" s="398">
        <f>SUM('19 önkormányzat'!J15)</f>
        <v>191529472</v>
      </c>
      <c r="K10" s="398">
        <f>SUM('19 önkormányzat'!K15)</f>
        <v>207976669</v>
      </c>
    </row>
    <row r="11" spans="1:11" s="73" customFormat="1" ht="12.75" customHeight="1">
      <c r="A11" s="68" t="s">
        <v>40</v>
      </c>
      <c r="B11" s="69"/>
      <c r="C11" s="70" t="s">
        <v>166</v>
      </c>
      <c r="D11" s="72">
        <f>SUM('19 önkormányzat'!E16)</f>
        <v>44500000</v>
      </c>
      <c r="E11" s="72">
        <f>SUM('19 önkormányzat'!F16)</f>
        <v>15145000</v>
      </c>
      <c r="F11" s="72">
        <f>SUM('19 önkormányzat'!G16)</f>
        <v>9941807</v>
      </c>
      <c r="G11" s="72">
        <f>SUM('19 önkormányzat'!H16)</f>
        <v>9941807</v>
      </c>
      <c r="H11" s="72">
        <f>SUM('19 önkormányzat'!I16)</f>
        <v>9941807</v>
      </c>
      <c r="I11" s="72">
        <f>SUM('19 önkormányzat'!I16)</f>
        <v>9941807</v>
      </c>
      <c r="J11" s="398">
        <f>SUM('19 önkormányzat'!J16)+'18. VÜKI'!J10</f>
        <v>46046608</v>
      </c>
      <c r="K11" s="398">
        <f>SUM('19 önkormányzat'!K16)+'18. VÜKI'!K10+65000</f>
        <v>123557514</v>
      </c>
    </row>
    <row r="12" spans="1:11" s="78" customFormat="1" ht="12.75" customHeight="1">
      <c r="A12" s="74" t="s">
        <v>47</v>
      </c>
      <c r="B12" s="75" t="s">
        <v>167</v>
      </c>
      <c r="C12" s="10" t="s">
        <v>168</v>
      </c>
      <c r="D12" s="76">
        <f>SUM(D10:D11)</f>
        <v>229645000</v>
      </c>
      <c r="E12" s="76">
        <f>SUM(E10:E11)</f>
        <v>197812079</v>
      </c>
      <c r="F12" s="76">
        <f>SUM(F10:F11)</f>
        <v>196544252</v>
      </c>
      <c r="G12" s="76">
        <f>SUM(G10:G11)</f>
        <v>199107851</v>
      </c>
      <c r="H12" s="971">
        <f>SUM(E12/D12)</f>
        <v>0.8613820418471989</v>
      </c>
      <c r="I12" s="76">
        <f>SUM(I10:I11)</f>
        <v>199107851</v>
      </c>
      <c r="J12" s="76">
        <f>SUM(J10:J11)</f>
        <v>237576080</v>
      </c>
      <c r="K12" s="76">
        <f>SUM(K10:K11)</f>
        <v>331534183</v>
      </c>
    </row>
    <row r="13" spans="1:11" s="78" customFormat="1" ht="12.75" customHeight="1">
      <c r="A13" s="74" t="s">
        <v>49</v>
      </c>
      <c r="B13" s="75" t="s">
        <v>169</v>
      </c>
      <c r="C13" s="10" t="s">
        <v>170</v>
      </c>
      <c r="D13" s="77">
        <f>SUM('19 önkormányzat'!E25)</f>
        <v>80000000</v>
      </c>
      <c r="E13" s="77">
        <f>SUM('19 önkormányzat'!F25)</f>
        <v>0</v>
      </c>
      <c r="F13" s="77">
        <f>SUM('19 önkormányzat'!G25)</f>
        <v>0</v>
      </c>
      <c r="G13" s="77">
        <f>SUM('19 önkormányzat'!H25)</f>
        <v>0</v>
      </c>
      <c r="H13" s="66">
        <f>SUM(E13/D13)</f>
        <v>0</v>
      </c>
      <c r="I13" s="77">
        <f>SUM('19 önkormányzat'!I25)</f>
        <v>0</v>
      </c>
      <c r="J13" s="77">
        <f>SUM('19 önkormányzat'!J25)</f>
        <v>333740979</v>
      </c>
      <c r="K13" s="77">
        <f>SUM('19 önkormányzat'!K25)</f>
        <v>579188024</v>
      </c>
    </row>
    <row r="14" spans="1:11" s="73" customFormat="1" ht="12.75" customHeight="1">
      <c r="A14" s="68" t="s">
        <v>51</v>
      </c>
      <c r="B14" s="69"/>
      <c r="C14" s="70" t="s">
        <v>171</v>
      </c>
      <c r="D14" s="71">
        <f>SUM('19 önkormányzat'!E26)</f>
        <v>6755000</v>
      </c>
      <c r="E14" s="71">
        <f>SUM('19 önkormányzat'!F26)</f>
        <v>6755000</v>
      </c>
      <c r="F14" s="71">
        <f>SUM('19 önkormányzat'!G26)</f>
        <v>6755000</v>
      </c>
      <c r="G14" s="71">
        <f>SUM('19 önkormányzat'!H26)</f>
        <v>6755000</v>
      </c>
      <c r="H14" s="66"/>
      <c r="I14" s="71">
        <f>SUM('19 önkormányzat'!J26)</f>
        <v>6755000</v>
      </c>
      <c r="J14" s="71">
        <f>SUM('19 önkormányzat'!J26)</f>
        <v>6755000</v>
      </c>
      <c r="K14" s="71">
        <f>SUM('19 önkormányzat'!K26)</f>
        <v>6985609</v>
      </c>
    </row>
    <row r="15" spans="1:11" s="73" customFormat="1" ht="23.25" customHeight="1">
      <c r="A15" s="68" t="s">
        <v>53</v>
      </c>
      <c r="B15" s="69"/>
      <c r="C15" s="70" t="s">
        <v>172</v>
      </c>
      <c r="D15" s="71">
        <f>SUM('19 önkormányzat'!E27)</f>
        <v>133432000</v>
      </c>
      <c r="E15" s="71">
        <f>SUM('19 önkormányzat'!F27)</f>
        <v>134000000</v>
      </c>
      <c r="F15" s="71">
        <f>SUM('19 önkormányzat'!G27)</f>
        <v>134000000</v>
      </c>
      <c r="G15" s="71">
        <f>SUM('19 önkormányzat'!H27)</f>
        <v>134000000</v>
      </c>
      <c r="H15" s="66"/>
      <c r="I15" s="71">
        <f>SUM('19 önkormányzat'!J27)</f>
        <v>134000000</v>
      </c>
      <c r="J15" s="71">
        <f>SUM('19 önkormányzat'!J27)</f>
        <v>134000000</v>
      </c>
      <c r="K15" s="71">
        <f>SUM('19 önkormányzat'!K27)</f>
        <v>153700078</v>
      </c>
    </row>
    <row r="16" spans="1:11" s="73" customFormat="1" ht="12.75" customHeight="1">
      <c r="A16" s="68" t="s">
        <v>55</v>
      </c>
      <c r="B16" s="69"/>
      <c r="C16" s="70" t="s">
        <v>173</v>
      </c>
      <c r="D16" s="71">
        <f>SUM('19 önkormányzat'!E28)</f>
        <v>8378000</v>
      </c>
      <c r="E16" s="71">
        <f>SUM('19 önkormányzat'!F28)</f>
        <v>8935000</v>
      </c>
      <c r="F16" s="71">
        <f>SUM('19 önkormányzat'!G28)</f>
        <v>8935000</v>
      </c>
      <c r="G16" s="71">
        <f>SUM('19 önkormányzat'!H28)</f>
        <v>8935000</v>
      </c>
      <c r="H16" s="66"/>
      <c r="I16" s="71">
        <f>SUM('19 önkormányzat'!I28)</f>
        <v>8935000</v>
      </c>
      <c r="J16" s="71">
        <f>SUM('19 önkormányzat'!J28)</f>
        <v>9235000</v>
      </c>
      <c r="K16" s="71">
        <f>SUM('19 önkormányzat'!K28)</f>
        <v>10051757</v>
      </c>
    </row>
    <row r="17" spans="1:11" s="73" customFormat="1" ht="12.75" customHeight="1">
      <c r="A17" s="68" t="s">
        <v>57</v>
      </c>
      <c r="B17" s="69"/>
      <c r="C17" s="70" t="s">
        <v>174</v>
      </c>
      <c r="D17" s="71">
        <f>SUM('19 önkormányzat'!E29)</f>
        <v>315000</v>
      </c>
      <c r="E17" s="71">
        <f>SUM('19 önkormányzat'!F29)</f>
        <v>315000</v>
      </c>
      <c r="F17" s="71">
        <f>SUM('19 önkormányzat'!G29)</f>
        <v>0</v>
      </c>
      <c r="G17" s="71">
        <f>SUM('19 önkormányzat'!H29)</f>
        <v>0</v>
      </c>
      <c r="H17" s="66"/>
      <c r="I17" s="71">
        <f>SUM('19 önkormányzat'!J29)</f>
        <v>0</v>
      </c>
      <c r="J17" s="71">
        <f>SUM('19 önkormányzat'!J29)</f>
        <v>0</v>
      </c>
      <c r="K17" s="71">
        <f>SUM('19 önkormányzat'!K29)</f>
        <v>0</v>
      </c>
    </row>
    <row r="18" spans="1:11" s="73" customFormat="1" ht="12.75" customHeight="1">
      <c r="A18" s="68" t="s">
        <v>86</v>
      </c>
      <c r="B18" s="69"/>
      <c r="C18" s="70" t="s">
        <v>175</v>
      </c>
      <c r="D18" s="71">
        <f>SUM('19 önkormányzat'!E30)</f>
        <v>1000000</v>
      </c>
      <c r="E18" s="71">
        <f>SUM('19 önkormányzat'!F30)</f>
        <v>150000</v>
      </c>
      <c r="F18" s="71">
        <f>SUM('19 önkormányzat'!G30)</f>
        <v>465000</v>
      </c>
      <c r="G18" s="1234">
        <f>SUM('19 önkormányzat'!H30)</f>
        <v>465000</v>
      </c>
      <c r="H18" s="66"/>
      <c r="I18" s="1234">
        <f>SUM('19 önkormányzat'!J30)</f>
        <v>465000</v>
      </c>
      <c r="J18" s="1234">
        <f>SUM('19 önkormányzat'!J30)</f>
        <v>465000</v>
      </c>
      <c r="K18" s="1234">
        <f>SUM('19 önkormányzat'!K30)</f>
        <v>608170</v>
      </c>
    </row>
    <row r="19" spans="1:11" s="78" customFormat="1" ht="12.75" customHeight="1">
      <c r="A19" s="74" t="s">
        <v>59</v>
      </c>
      <c r="B19" s="75" t="s">
        <v>176</v>
      </c>
      <c r="C19" s="10" t="s">
        <v>177</v>
      </c>
      <c r="D19" s="76">
        <f>SUM(D14:D18)</f>
        <v>149880000</v>
      </c>
      <c r="E19" s="76">
        <f>SUM(E14:E18)</f>
        <v>150155000</v>
      </c>
      <c r="F19" s="76">
        <f>SUM(F14:F18)</f>
        <v>150155000</v>
      </c>
      <c r="G19" s="1137">
        <f>SUM(G14:G18)</f>
        <v>150155000</v>
      </c>
      <c r="H19" s="971">
        <f>SUM(E19/D19)</f>
        <v>1.0018348011742728</v>
      </c>
      <c r="I19" s="1137">
        <f>SUM(I14:I18)</f>
        <v>150155000</v>
      </c>
      <c r="J19" s="1137">
        <f>SUM(J14:J18)</f>
        <v>150455000</v>
      </c>
      <c r="K19" s="1137">
        <f>SUM(K14:K18)</f>
        <v>171345614</v>
      </c>
    </row>
    <row r="20" spans="1:11" s="73" customFormat="1" ht="12.75" customHeight="1">
      <c r="A20" s="68" t="s">
        <v>61</v>
      </c>
      <c r="B20" s="69"/>
      <c r="C20" s="70" t="s">
        <v>178</v>
      </c>
      <c r="D20" s="71">
        <f>SUM('17. Hivatal'!E11+'18. VÜKI'!E13+'19 önkormányzat'!E32)</f>
        <v>5171000</v>
      </c>
      <c r="E20" s="71">
        <f>SUM('17. Hivatal'!F11+'18. VÜKI'!F13+'19 önkormányzat'!F32)</f>
        <v>5180192</v>
      </c>
      <c r="F20" s="71">
        <f>SUM('17. Hivatal'!G11+'18. VÜKI'!G13+'19 önkormányzat'!G32)</f>
        <v>5180192</v>
      </c>
      <c r="G20" s="1234">
        <f>SUM('17. Hivatal'!H11+'18. VÜKI'!H13+'19 önkormányzat'!H32)</f>
        <v>5030092</v>
      </c>
      <c r="H20" s="66"/>
      <c r="I20" s="1234">
        <f>SUM('17. Hivatal'!J11+'18. VÜKI'!J13+'19 önkormányzat'!J32)</f>
        <v>5016892</v>
      </c>
      <c r="J20" s="1234">
        <f>SUM('17. Hivatal'!J11+'18. VÜKI'!J13+'19 önkormányzat'!J32)</f>
        <v>5016892</v>
      </c>
      <c r="K20" s="1234">
        <v>5995252</v>
      </c>
    </row>
    <row r="21" spans="1:11" s="73" customFormat="1" ht="12.75" customHeight="1">
      <c r="A21" s="68" t="s">
        <v>63</v>
      </c>
      <c r="B21" s="69"/>
      <c r="C21" s="70" t="s">
        <v>179</v>
      </c>
      <c r="D21" s="71">
        <f>SUM('17. Hivatal'!E12+'19 önkormányzat'!E33)</f>
        <v>5655000</v>
      </c>
      <c r="E21" s="71">
        <f>SUM('17. Hivatal'!F12+'19 önkormányzat'!F33)</f>
        <v>432000</v>
      </c>
      <c r="F21" s="71">
        <f>SUM('17. Hivatal'!G12+'19 önkormányzat'!G33)</f>
        <v>3180000</v>
      </c>
      <c r="G21" s="1234">
        <f>SUM('17. Hivatal'!H12+'19 önkormányzat'!H33)</f>
        <v>3330000</v>
      </c>
      <c r="H21" s="66"/>
      <c r="I21" s="1234">
        <f>SUM('17. Hivatal'!J12+'19 önkormányzat'!J33)</f>
        <v>3330000</v>
      </c>
      <c r="J21" s="1234">
        <f>SUM('17. Hivatal'!J12+'19 önkormányzat'!J33)</f>
        <v>3330000</v>
      </c>
      <c r="K21" s="1234">
        <f>SUM('17. Hivatal'!K12+'19 önkormányzat'!K33)</f>
        <v>4006449</v>
      </c>
    </row>
    <row r="22" spans="1:11" s="73" customFormat="1" ht="12.75" customHeight="1">
      <c r="A22" s="79" t="s">
        <v>65</v>
      </c>
      <c r="B22" s="80"/>
      <c r="C22" s="70" t="s">
        <v>180</v>
      </c>
      <c r="D22" s="71">
        <f>SUM('16. Műv. ház'!E10+'18. VÜKI'!E14+'19 önkormányzat'!E34)</f>
        <v>900000</v>
      </c>
      <c r="E22" s="71">
        <f>SUM('16. Műv. ház'!F10+'18. VÜKI'!F14+'19 önkormányzat'!F34)</f>
        <v>1089993</v>
      </c>
      <c r="F22" s="71">
        <f>SUM('16. Műv. ház'!G10+'18. VÜKI'!G14+'19 önkormányzat'!G34)</f>
        <v>1089993</v>
      </c>
      <c r="G22" s="1234">
        <f>SUM('16. Műv. ház'!H10+'18. VÜKI'!H14+'19 önkormányzat'!H34)</f>
        <v>1089993</v>
      </c>
      <c r="H22" s="66"/>
      <c r="I22" s="1234">
        <v>1089993</v>
      </c>
      <c r="J22" s="1234">
        <f>SUM('16. Műv. ház'!J10+'18. VÜKI'!J14+'19 önkormányzat'!J34)</f>
        <v>1189000</v>
      </c>
      <c r="K22" s="1234">
        <v>930260</v>
      </c>
    </row>
    <row r="23" spans="1:11" s="73" customFormat="1" ht="12.75" customHeight="1">
      <c r="A23" s="68" t="s">
        <v>92</v>
      </c>
      <c r="B23" s="69"/>
      <c r="C23" s="70" t="s">
        <v>181</v>
      </c>
      <c r="D23" s="71">
        <f>SUM('15. Óvoda'!E10+'15. Óvoda'!E11+'18. VÜKI'!E15)</f>
        <v>16440000</v>
      </c>
      <c r="E23" s="71">
        <f>SUM('15. Óvoda'!F10+'15. Óvoda'!F11+'18. VÜKI'!F15)</f>
        <v>17940000</v>
      </c>
      <c r="F23" s="71">
        <f>SUM('15. Óvoda'!G10+'15. Óvoda'!G11+'18. VÜKI'!G15)</f>
        <v>17940000</v>
      </c>
      <c r="G23" s="1234">
        <f>SUM('15. Óvoda'!H10+'15. Óvoda'!H11+'18. VÜKI'!H15)</f>
        <v>17940000</v>
      </c>
      <c r="H23" s="66"/>
      <c r="I23" s="1234">
        <f>SUM('15. Óvoda'!J10+'15. Óvoda'!J11+'18. VÜKI'!J15)</f>
        <v>17940000</v>
      </c>
      <c r="J23" s="1234">
        <f>SUM('15. Óvoda'!J10+'15. Óvoda'!J11+'18. VÜKI'!J15)</f>
        <v>17940000</v>
      </c>
      <c r="K23" s="1234">
        <f>SUM('15. Óvoda'!K10+'15. Óvoda'!K11+'18. VÜKI'!K15)</f>
        <v>16780995</v>
      </c>
    </row>
    <row r="24" spans="1:11" s="73" customFormat="1" ht="12.75" customHeight="1">
      <c r="A24" s="68" t="s">
        <v>66</v>
      </c>
      <c r="B24" s="69"/>
      <c r="C24" s="70" t="s">
        <v>182</v>
      </c>
      <c r="D24" s="71">
        <f>SUM('15. Óvoda'!E12+'17. Hivatal'!E13+'18. VÜKI'!E16+'19 önkormányzat'!E35)</f>
        <v>9130000</v>
      </c>
      <c r="E24" s="71">
        <f>SUM('15. Óvoda'!F12+'17. Hivatal'!F13+'18. VÜKI'!F16+'19 önkormányzat'!F35)</f>
        <v>9900954</v>
      </c>
      <c r="F24" s="71">
        <f>SUM('15. Óvoda'!G12+'17. Hivatal'!G13+'18. VÜKI'!G16+'19 önkormányzat'!G35)</f>
        <v>9900954</v>
      </c>
      <c r="G24" s="1234">
        <f>SUM('15. Óvoda'!H12+'17. Hivatal'!H13+'18. VÜKI'!H16+'19 önkormányzat'!H35)</f>
        <v>9900948</v>
      </c>
      <c r="H24" s="66"/>
      <c r="I24" s="1234">
        <v>9900948</v>
      </c>
      <c r="J24" s="1234">
        <f>SUM('15. Óvoda'!J12+'17. Hivatal'!J13+'18. VÜKI'!J16+'19 önkormányzat'!J35)</f>
        <v>9735970</v>
      </c>
      <c r="K24" s="1234">
        <f>SUM('15. Óvoda'!K12+'17. Hivatal'!K13+'18. VÜKI'!K16+'19 önkormányzat'!K35)</f>
        <v>8898038</v>
      </c>
    </row>
    <row r="25" spans="1:11" s="73" customFormat="1" ht="12.75" customHeight="1">
      <c r="A25" s="73" t="s">
        <v>67</v>
      </c>
      <c r="B25" s="69"/>
      <c r="C25" s="1165" t="s">
        <v>795</v>
      </c>
      <c r="D25" s="71">
        <v>0</v>
      </c>
      <c r="E25" s="71">
        <v>0</v>
      </c>
      <c r="F25" s="71">
        <v>5708000</v>
      </c>
      <c r="G25" s="1234">
        <v>5708000</v>
      </c>
      <c r="H25" s="66"/>
      <c r="I25" s="1234">
        <v>5708000</v>
      </c>
      <c r="J25" s="1234">
        <v>5708000</v>
      </c>
      <c r="K25" s="1234">
        <v>5708000</v>
      </c>
    </row>
    <row r="26" spans="1:11" s="73" customFormat="1" ht="12.75" customHeight="1">
      <c r="A26" s="68" t="s">
        <v>68</v>
      </c>
      <c r="B26" s="69"/>
      <c r="C26" s="70" t="s">
        <v>183</v>
      </c>
      <c r="D26" s="71">
        <f>SUM('15. Óvoda'!E13+'18. VÜKI'!E18+'19 önkormányzat'!E37)</f>
        <v>40000</v>
      </c>
      <c r="E26" s="71">
        <f>SUM('15. Óvoda'!F13+'18. VÜKI'!F18+'19 önkormányzat'!F37)</f>
        <v>30770</v>
      </c>
      <c r="F26" s="71">
        <f>SUM('15. Óvoda'!G13+'18. VÜKI'!G18+'19 önkormányzat'!G37)</f>
        <v>20770</v>
      </c>
      <c r="G26" s="1234">
        <f>SUM('15. Óvoda'!H13+'18. VÜKI'!H18+'19 önkormányzat'!H37)+'17. Hivatal'!H14</f>
        <v>20776</v>
      </c>
      <c r="H26" s="66"/>
      <c r="I26" s="1234">
        <f>SUM('15. Óvoda'!J13+'18. VÜKI'!J18+'19 önkormányzat'!J37)+'17. Hivatal'!J14</f>
        <v>21776</v>
      </c>
      <c r="J26" s="1234">
        <v>21876</v>
      </c>
      <c r="K26" s="1234">
        <v>2902</v>
      </c>
    </row>
    <row r="27" spans="1:11" s="73" customFormat="1" ht="12.75" customHeight="1">
      <c r="A27" s="68" t="s">
        <v>70</v>
      </c>
      <c r="B27" s="69"/>
      <c r="C27" s="70" t="s">
        <v>184</v>
      </c>
      <c r="D27" s="71">
        <v>0</v>
      </c>
      <c r="E27" s="72">
        <v>0</v>
      </c>
      <c r="F27" s="72">
        <v>0</v>
      </c>
      <c r="G27" s="1235">
        <v>0</v>
      </c>
      <c r="H27" s="66"/>
      <c r="I27" s="1235">
        <v>0</v>
      </c>
      <c r="J27" s="1235">
        <v>61230</v>
      </c>
      <c r="K27" s="1235">
        <v>61230</v>
      </c>
    </row>
    <row r="28" spans="1:11" s="73" customFormat="1" ht="12.75" customHeight="1">
      <c r="A28" s="68" t="s">
        <v>97</v>
      </c>
      <c r="B28" s="69"/>
      <c r="C28" s="70" t="s">
        <v>185</v>
      </c>
      <c r="D28" s="71">
        <f>SUM('19 önkormányzat'!E39)</f>
        <v>4418000</v>
      </c>
      <c r="E28" s="71">
        <f>SUM('19 önkormányzat'!F39)</f>
        <v>5700000</v>
      </c>
      <c r="F28" s="71">
        <f>SUM('19 önkormányzat'!G39)</f>
        <v>2000</v>
      </c>
      <c r="G28" s="1234">
        <f>SUM('19 önkormányzat'!H39)+'18. VÜKI'!H17</f>
        <v>2100</v>
      </c>
      <c r="H28" s="66"/>
      <c r="I28" s="1234">
        <f>SUM('19 önkormányzat'!J39)+'18. VÜKI'!J17</f>
        <v>15300</v>
      </c>
      <c r="J28" s="1234">
        <v>17300</v>
      </c>
      <c r="K28" s="1234">
        <v>1124226</v>
      </c>
    </row>
    <row r="29" spans="1:11" s="78" customFormat="1" ht="12.75" customHeight="1">
      <c r="A29" s="74" t="s">
        <v>99</v>
      </c>
      <c r="B29" s="10" t="s">
        <v>186</v>
      </c>
      <c r="C29" s="10" t="s">
        <v>78</v>
      </c>
      <c r="D29" s="76">
        <f>SUM(D20:D28)</f>
        <v>41754000</v>
      </c>
      <c r="E29" s="76">
        <f>SUM(E20:E28)</f>
        <v>40273909</v>
      </c>
      <c r="F29" s="76">
        <f>SUM(F20:F28)</f>
        <v>43021909</v>
      </c>
      <c r="G29" s="1137">
        <f>SUM(G20:G28)</f>
        <v>43021909</v>
      </c>
      <c r="H29" s="971">
        <f>SUM(E29/D29)</f>
        <v>0.9645521147674474</v>
      </c>
      <c r="I29" s="1137">
        <f>SUM(I20:I28)</f>
        <v>43022909</v>
      </c>
      <c r="J29" s="1137">
        <f>SUM(J20:J28)</f>
        <v>43020268</v>
      </c>
      <c r="K29" s="1137">
        <f>SUM(K20:K28)</f>
        <v>43507352</v>
      </c>
    </row>
    <row r="30" spans="1:11" s="78" customFormat="1" ht="12.75" customHeight="1">
      <c r="A30" s="74" t="s">
        <v>101</v>
      </c>
      <c r="B30" s="10" t="s">
        <v>187</v>
      </c>
      <c r="C30" s="10" t="s">
        <v>13</v>
      </c>
      <c r="D30" s="76">
        <f>SUM('19 önkormányzat'!E41)</f>
        <v>41468000</v>
      </c>
      <c r="E30" s="76">
        <f>SUM('19 önkormányzat'!F41)</f>
        <v>40639830</v>
      </c>
      <c r="F30" s="76">
        <f>SUM('19 önkormányzat'!G41)</f>
        <v>40639830</v>
      </c>
      <c r="G30" s="1137">
        <f>SUM('19 önkormányzat'!H41)</f>
        <v>40639830</v>
      </c>
      <c r="H30" s="971">
        <f>SUM(E30/D30)</f>
        <v>0.9800286968264686</v>
      </c>
      <c r="I30" s="1137">
        <f>SUM('19 önkormányzat'!I41)</f>
        <v>40639830</v>
      </c>
      <c r="J30" s="1137">
        <f>SUM('19 önkormányzat'!J41)</f>
        <v>35985235</v>
      </c>
      <c r="K30" s="1137">
        <f>SUM('19 önkormányzat'!K41)</f>
        <v>9136370</v>
      </c>
    </row>
    <row r="31" spans="1:11" s="78" customFormat="1" ht="12.75" customHeight="1">
      <c r="A31" s="74" t="s">
        <v>103</v>
      </c>
      <c r="B31" s="10" t="s">
        <v>188</v>
      </c>
      <c r="C31" s="10" t="s">
        <v>189</v>
      </c>
      <c r="D31" s="76">
        <f>SUM('ÖNK ÖSSZESITŐ'!E10+'ÖNK ÖSSZESITŐ'!E24+'ÖNK ÖSSZESITŐ'!E40)</f>
        <v>1878000</v>
      </c>
      <c r="E31" s="76">
        <f>SUM('ÖNK ÖSSZESITŐ'!F10+'ÖNK ÖSSZESITŐ'!F24+'ÖNK ÖSSZESITŐ'!F40)</f>
        <v>0</v>
      </c>
      <c r="F31" s="76">
        <v>215000</v>
      </c>
      <c r="G31" s="1137">
        <v>700800</v>
      </c>
      <c r="H31" s="66">
        <f>SUM(E31/D31)</f>
        <v>0</v>
      </c>
      <c r="I31" s="1137">
        <v>700800</v>
      </c>
      <c r="J31" s="1137">
        <v>1063138</v>
      </c>
      <c r="K31" s="1137">
        <v>1507008</v>
      </c>
    </row>
    <row r="32" spans="1:11" s="78" customFormat="1" ht="12.75" customHeight="1" thickBot="1">
      <c r="A32" s="74" t="s">
        <v>105</v>
      </c>
      <c r="B32" s="10" t="s">
        <v>190</v>
      </c>
      <c r="C32" s="10" t="s">
        <v>191</v>
      </c>
      <c r="D32" s="76">
        <f>SUM('ÖNK ÖSSZESITŐ'!E41)</f>
        <v>1273000</v>
      </c>
      <c r="E32" s="76">
        <f>SUM('ÖNK ÖSSZESITŐ'!F41)</f>
        <v>0</v>
      </c>
      <c r="F32" s="76">
        <v>800000</v>
      </c>
      <c r="G32" s="1137">
        <v>800000</v>
      </c>
      <c r="H32" s="66">
        <f>SUM(E32/D32)</f>
        <v>0</v>
      </c>
      <c r="I32" s="1137">
        <v>800000</v>
      </c>
      <c r="J32" s="1137">
        <v>800000</v>
      </c>
      <c r="K32" s="1137">
        <v>800000</v>
      </c>
    </row>
    <row r="33" spans="1:11" s="81" customFormat="1" ht="19.5" customHeight="1" thickBot="1">
      <c r="A33" s="976" t="s">
        <v>107</v>
      </c>
      <c r="B33" s="977"/>
      <c r="C33" s="978" t="s">
        <v>192</v>
      </c>
      <c r="D33" s="979">
        <f>SUM(D12+D13+D19+D29+D30+D31+D32)</f>
        <v>545898000</v>
      </c>
      <c r="E33" s="979">
        <f>SUM(E12+E13+E19+E29+E30+E31+E32)</f>
        <v>428880818</v>
      </c>
      <c r="F33" s="979">
        <f>SUM(F12+F13+F19+F29+F30+F31+F32)</f>
        <v>431375991</v>
      </c>
      <c r="G33" s="979">
        <f>SUM(G12+G13+G19+G29+G30+G31+G32)</f>
        <v>434425390</v>
      </c>
      <c r="H33" s="980">
        <f>SUM(E33/D33)</f>
        <v>0.7856427720929551</v>
      </c>
      <c r="I33" s="979">
        <f>SUM(I12+I13+I19+I29+I30+I31+I32)</f>
        <v>434426390</v>
      </c>
      <c r="J33" s="979">
        <f>SUM(J12+J13+J19+J29+J30+J31+J32)</f>
        <v>802640700</v>
      </c>
      <c r="K33" s="1601">
        <f>SUM(K12+K13+K19+K29+K30+K31+K32)</f>
        <v>1137018551</v>
      </c>
    </row>
    <row r="34" spans="1:11" ht="12.75" customHeight="1">
      <c r="A34" s="981" t="s">
        <v>109</v>
      </c>
      <c r="B34" s="982"/>
      <c r="C34" s="983"/>
      <c r="D34" s="695"/>
      <c r="E34" s="984"/>
      <c r="F34" s="1162"/>
      <c r="G34" s="1162"/>
      <c r="H34" s="985"/>
      <c r="I34" s="1162"/>
      <c r="J34" s="1162"/>
      <c r="K34" s="1602"/>
    </row>
    <row r="35" spans="1:11" ht="12.75" customHeight="1">
      <c r="A35" s="735" t="s">
        <v>111</v>
      </c>
      <c r="B35" s="639" t="s">
        <v>193</v>
      </c>
      <c r="C35" s="640" t="s">
        <v>194</v>
      </c>
      <c r="D35" s="795">
        <f>SUM('ÖNK ÖSSZESITŐ'!E42)</f>
        <v>80000000</v>
      </c>
      <c r="E35" s="795">
        <f>SUM('ÖNK ÖSSZESITŐ'!F42)</f>
        <v>0</v>
      </c>
      <c r="F35" s="795">
        <f>SUM('ÖNK ÖSSZESITŐ'!G42)</f>
        <v>0</v>
      </c>
      <c r="G35" s="795">
        <f>SUM('ÖNK ÖSSZESITŐ'!H42)</f>
        <v>0</v>
      </c>
      <c r="H35" s="986">
        <f>SUM(E35/D35)</f>
        <v>0</v>
      </c>
      <c r="I35" s="795">
        <f>SUM('ÖNK ÖSSZESITŐ'!J42)</f>
        <v>0</v>
      </c>
      <c r="J35" s="795">
        <f>SUM('ÖNK ÖSSZESITŐ'!K42)</f>
        <v>0</v>
      </c>
      <c r="K35" s="1603">
        <f>SUM('ÖNK ÖSSZESITŐ'!L42)</f>
        <v>0</v>
      </c>
    </row>
    <row r="36" spans="1:11" s="78" customFormat="1" ht="12.75" customHeight="1">
      <c r="A36" s="987" t="s">
        <v>113</v>
      </c>
      <c r="B36" s="639" t="s">
        <v>195</v>
      </c>
      <c r="C36" s="640" t="s">
        <v>196</v>
      </c>
      <c r="D36" s="795">
        <f>SUM(D37:D38)</f>
        <v>60159000</v>
      </c>
      <c r="E36" s="795">
        <f>SUM(E37:E38)</f>
        <v>51655670</v>
      </c>
      <c r="F36" s="795">
        <f>SUM(F37:F38)</f>
        <v>52133712</v>
      </c>
      <c r="G36" s="795">
        <f>SUM(G37:G38)</f>
        <v>52133712</v>
      </c>
      <c r="H36" s="986">
        <f>SUM(E36/D36)</f>
        <v>0.8586524044615104</v>
      </c>
      <c r="I36" s="795">
        <f>SUM(I37:I38)</f>
        <v>52133712</v>
      </c>
      <c r="J36" s="795">
        <f>SUM(J37:J38)</f>
        <v>52133712</v>
      </c>
      <c r="K36" s="1603">
        <f>SUM(K37:K38)</f>
        <v>52133712</v>
      </c>
    </row>
    <row r="37" spans="1:11" s="73" customFormat="1" ht="12.75" customHeight="1">
      <c r="A37" s="988" t="s">
        <v>115</v>
      </c>
      <c r="B37" s="796"/>
      <c r="C37" s="517" t="s">
        <v>197</v>
      </c>
      <c r="D37" s="694">
        <v>10217000</v>
      </c>
      <c r="E37" s="797">
        <f>SUM('19 önkormányzat'!F52)</f>
        <v>24778962</v>
      </c>
      <c r="F37" s="797">
        <f>SUM('19 önkormányzat'!G52)</f>
        <v>29548462</v>
      </c>
      <c r="G37" s="797">
        <f>SUM('19 önkormányzat'!H52)</f>
        <v>29548462</v>
      </c>
      <c r="H37" s="989"/>
      <c r="I37" s="797">
        <f>SUM('19 önkormányzat'!I52)</f>
        <v>29548462</v>
      </c>
      <c r="J37" s="797">
        <v>37985020</v>
      </c>
      <c r="K37" s="1604">
        <v>48769876</v>
      </c>
    </row>
    <row r="38" spans="1:11" s="73" customFormat="1" ht="12.75" customHeight="1">
      <c r="A38" s="990" t="s">
        <v>117</v>
      </c>
      <c r="B38" s="796"/>
      <c r="C38" s="517" t="s">
        <v>198</v>
      </c>
      <c r="D38" s="694">
        <v>49942000</v>
      </c>
      <c r="E38" s="694">
        <f>SUM('15. Óvoda'!F23)+'16. Műv. ház'!F17+'17. Hivatal'!F18+'18. VÜKI'!F20+'19 önkormányzat'!F51</f>
        <v>26876708</v>
      </c>
      <c r="F38" s="694">
        <f>SUM('15. Óvoda'!G23)+'16. Műv. ház'!G17+'17. Hivatal'!G18+'18. VÜKI'!G20+'19 önkormányzat'!G51</f>
        <v>22585250</v>
      </c>
      <c r="G38" s="694">
        <f>SUM('15. Óvoda'!H23)+'16. Műv. ház'!H17+'17. Hivatal'!H18+'18. VÜKI'!H20+'19 önkormányzat'!H51</f>
        <v>22585250</v>
      </c>
      <c r="H38" s="989"/>
      <c r="I38" s="694">
        <f>SUM('15. Óvoda'!I23)+'16. Műv. ház'!I17+'17. Hivatal'!I18+'18. VÜKI'!I20+'19 önkormányzat'!I51</f>
        <v>22585250</v>
      </c>
      <c r="J38" s="694">
        <v>14148692</v>
      </c>
      <c r="K38" s="1600">
        <v>3363836</v>
      </c>
    </row>
    <row r="39" spans="1:11" s="73" customFormat="1" ht="12.75" customHeight="1">
      <c r="A39" s="991" t="s">
        <v>118</v>
      </c>
      <c r="B39" s="639" t="s">
        <v>199</v>
      </c>
      <c r="C39" s="640" t="s">
        <v>200</v>
      </c>
      <c r="D39" s="694">
        <f>SUM('ÖNK ÖSSZESITŐ'!E44)</f>
        <v>4153000</v>
      </c>
      <c r="E39" s="694">
        <f>SUM('ÖNK ÖSSZESITŐ'!F44)</f>
        <v>6401277</v>
      </c>
      <c r="F39" s="694">
        <f>SUM('ÖNK ÖSSZESITŐ'!G44)</f>
        <v>7745538</v>
      </c>
      <c r="G39" s="694">
        <f>SUM('ÖNK ÖSSZESITŐ'!H44)</f>
        <v>8502671</v>
      </c>
      <c r="H39" s="986">
        <f>SUM(E39/D39)</f>
        <v>1.5413621478449313</v>
      </c>
      <c r="I39" s="694">
        <f>SUM('ÖNK ÖSSZESITŐ'!I44)</f>
        <v>8502671</v>
      </c>
      <c r="J39" s="694">
        <f>SUM('ÖNK ÖSSZESITŐ'!J44)</f>
        <v>9473678</v>
      </c>
      <c r="K39" s="1600">
        <f>SUM('ÖNK ÖSSZESITŐ'!K44)</f>
        <v>10623632</v>
      </c>
    </row>
    <row r="40" spans="1:11" s="78" customFormat="1" ht="28.5" customHeight="1" thickBot="1">
      <c r="A40" s="992" t="s">
        <v>120</v>
      </c>
      <c r="B40" s="993"/>
      <c r="C40" s="994" t="s">
        <v>201</v>
      </c>
      <c r="D40" s="995">
        <f>SUM(D35+D36+D39)</f>
        <v>144312000</v>
      </c>
      <c r="E40" s="995">
        <f>SUM(E35+E36+E39)</f>
        <v>58056947</v>
      </c>
      <c r="F40" s="995">
        <f>SUM(F35+F36+F39)</f>
        <v>59879250</v>
      </c>
      <c r="G40" s="995">
        <f>SUM(G35+G36+G39)</f>
        <v>60636383</v>
      </c>
      <c r="H40" s="996">
        <f>SUM(E40/D40)</f>
        <v>0.4023015896113975</v>
      </c>
      <c r="I40" s="995">
        <f>SUM(I35+I36+I39)</f>
        <v>60636383</v>
      </c>
      <c r="J40" s="995">
        <f>SUM(J35+J36+J39)</f>
        <v>61607390</v>
      </c>
      <c r="K40" s="1605">
        <f>SUM(K35+K36+K39)</f>
        <v>62757344</v>
      </c>
    </row>
    <row r="41" spans="1:11" s="88" customFormat="1" ht="21.75" customHeight="1" thickBot="1">
      <c r="A41" s="972" t="s">
        <v>122</v>
      </c>
      <c r="B41" s="973"/>
      <c r="C41" s="973" t="s">
        <v>202</v>
      </c>
      <c r="D41" s="974">
        <f>D33+D40</f>
        <v>690210000</v>
      </c>
      <c r="E41" s="974">
        <f>E33+E40</f>
        <v>486937765</v>
      </c>
      <c r="F41" s="974">
        <f>F33+F40</f>
        <v>491255241</v>
      </c>
      <c r="G41" s="974">
        <f>G33+G40</f>
        <v>495061773</v>
      </c>
      <c r="H41" s="975">
        <f>SUM(E41/D41)</f>
        <v>0.7054921907825155</v>
      </c>
      <c r="I41" s="974">
        <f>I33+I40</f>
        <v>495062773</v>
      </c>
      <c r="J41" s="974">
        <f>J33+J40</f>
        <v>864248090</v>
      </c>
      <c r="K41" s="974">
        <f>K33+K40</f>
        <v>1199775895</v>
      </c>
    </row>
    <row r="42" spans="1:3" ht="12.75" customHeight="1">
      <c r="A42" s="89"/>
      <c r="B42" s="90"/>
      <c r="C42" s="91"/>
    </row>
    <row r="43" spans="1:3" ht="12.75" customHeight="1">
      <c r="A43" s="89"/>
      <c r="B43" s="90"/>
      <c r="C43" s="91"/>
    </row>
    <row r="44" spans="1:3" ht="1.5" customHeight="1" thickBot="1">
      <c r="A44" s="89"/>
      <c r="B44" s="90"/>
      <c r="C44" s="91"/>
    </row>
    <row r="45" spans="1:11" ht="53.25" customHeight="1" thickBot="1">
      <c r="A45" s="1656" t="s">
        <v>156</v>
      </c>
      <c r="B45" s="1656"/>
      <c r="C45" s="60" t="s">
        <v>119</v>
      </c>
      <c r="D45" s="61" t="s">
        <v>158</v>
      </c>
      <c r="E45" s="61" t="s">
        <v>159</v>
      </c>
      <c r="F45" s="1161" t="s">
        <v>793</v>
      </c>
      <c r="G45" s="1161" t="s">
        <v>803</v>
      </c>
      <c r="H45" s="62" t="s">
        <v>160</v>
      </c>
      <c r="I45" s="1161" t="s">
        <v>885</v>
      </c>
      <c r="J45" s="1161" t="s">
        <v>891</v>
      </c>
      <c r="K45" s="1161" t="s">
        <v>947</v>
      </c>
    </row>
    <row r="46" spans="1:11" ht="12.75" customHeight="1">
      <c r="A46" s="1656"/>
      <c r="B46" s="1656"/>
      <c r="C46" s="92" t="s">
        <v>161</v>
      </c>
      <c r="D46" s="93" t="s">
        <v>162</v>
      </c>
      <c r="E46" s="93" t="s">
        <v>163</v>
      </c>
      <c r="F46" s="1163" t="s">
        <v>164</v>
      </c>
      <c r="G46" s="1163" t="s">
        <v>505</v>
      </c>
      <c r="H46" s="94" t="s">
        <v>505</v>
      </c>
      <c r="I46" s="1163" t="s">
        <v>525</v>
      </c>
      <c r="J46" s="1163" t="s">
        <v>804</v>
      </c>
      <c r="K46" s="1163" t="s">
        <v>890</v>
      </c>
    </row>
    <row r="47" spans="1:11" s="78" customFormat="1" ht="12.75" customHeight="1">
      <c r="A47" s="74" t="s">
        <v>124</v>
      </c>
      <c r="B47" s="75" t="s">
        <v>167</v>
      </c>
      <c r="C47" s="10" t="s">
        <v>121</v>
      </c>
      <c r="D47" s="76">
        <f>SUM('ÖNK ÖSSZESITŐ'!E87)</f>
        <v>215804000</v>
      </c>
      <c r="E47" s="76">
        <f>SUM('ÖNK ÖSSZESITŐ'!F87)</f>
        <v>210961000</v>
      </c>
      <c r="F47" s="76">
        <f>SUM('ÖNK ÖSSZESITŐ'!G87)</f>
        <v>207237896</v>
      </c>
      <c r="G47" s="76">
        <f>SUM('ÖNK ÖSSZESITŐ'!H87)</f>
        <v>208507299</v>
      </c>
      <c r="H47" s="997">
        <f>SUM(E47/D47)</f>
        <v>0.9775583399751626</v>
      </c>
      <c r="I47" s="76">
        <f>SUM('ÖNK ÖSSZESITŐ'!I87)</f>
        <v>208507299</v>
      </c>
      <c r="J47" s="76">
        <f>SUM('ÖNK ÖSSZESITŐ'!J87)</f>
        <v>211298067</v>
      </c>
      <c r="K47" s="76">
        <f>SUM('ÖNK ÖSSZESITŐ'!K87)</f>
        <v>208946160</v>
      </c>
    </row>
    <row r="48" spans="1:11" s="78" customFormat="1" ht="12.75" customHeight="1">
      <c r="A48" s="74" t="s">
        <v>126</v>
      </c>
      <c r="B48" s="75" t="s">
        <v>169</v>
      </c>
      <c r="C48" s="10" t="s">
        <v>203</v>
      </c>
      <c r="D48" s="76">
        <f>SUM('ÖNK ÖSSZESITŐ'!E88)</f>
        <v>55844000</v>
      </c>
      <c r="E48" s="76">
        <f>SUM('ÖNK ÖSSZESITŐ'!F88)</f>
        <v>46335000</v>
      </c>
      <c r="F48" s="76">
        <f>SUM('ÖNK ÖSSZESITŐ'!G88)</f>
        <v>45921315</v>
      </c>
      <c r="G48" s="76">
        <f>SUM('ÖNK ÖSSZESITŐ'!H88)</f>
        <v>46230616</v>
      </c>
      <c r="H48" s="997">
        <f aca="true" t="shared" si="0" ref="H48:H58">SUM(E48/D48)</f>
        <v>0.8297220829453478</v>
      </c>
      <c r="I48" s="76">
        <v>46230616</v>
      </c>
      <c r="J48" s="76">
        <f>SUM('ÖNK ÖSSZESITŐ'!J88)</f>
        <v>46888505</v>
      </c>
      <c r="K48" s="76">
        <f>SUM('ÖNK ÖSSZESITŐ'!K88)</f>
        <v>46468229</v>
      </c>
    </row>
    <row r="49" spans="1:11" ht="12.75" customHeight="1">
      <c r="A49" s="95" t="s">
        <v>128</v>
      </c>
      <c r="B49" s="75" t="s">
        <v>204</v>
      </c>
      <c r="C49" s="96" t="s">
        <v>125</v>
      </c>
      <c r="D49" s="76">
        <f>SUM('ÖNK ÖSSZESITŐ'!E89)</f>
        <v>155798000</v>
      </c>
      <c r="E49" s="76">
        <f>SUM('ÖNK ÖSSZESITŐ'!F89)</f>
        <v>122160060</v>
      </c>
      <c r="F49" s="76">
        <f>SUM('ÖNK ÖSSZESITŐ'!G89)</f>
        <v>118844564</v>
      </c>
      <c r="G49" s="76">
        <f>SUM('ÖNK ÖSSZESITŐ'!H89)</f>
        <v>118240217</v>
      </c>
      <c r="H49" s="997">
        <f t="shared" si="0"/>
        <v>0.7840926070938009</v>
      </c>
      <c r="I49" s="76">
        <v>118240217</v>
      </c>
      <c r="J49" s="76">
        <f>SUM('ÖNK ÖSSZESITŐ'!J89)</f>
        <v>146756846</v>
      </c>
      <c r="K49" s="76">
        <f>SUM('ÖNK ÖSSZESITŐ'!K89)</f>
        <v>139170107</v>
      </c>
    </row>
    <row r="50" spans="1:11" s="78" customFormat="1" ht="12.75" customHeight="1">
      <c r="A50" s="74" t="s">
        <v>130</v>
      </c>
      <c r="B50" s="75" t="s">
        <v>186</v>
      </c>
      <c r="C50" s="10" t="s">
        <v>205</v>
      </c>
      <c r="D50" s="76">
        <f>SUM('ÖNK ÖSSZESITŐ'!E92)</f>
        <v>3274000</v>
      </c>
      <c r="E50" s="76">
        <f>SUM('ÖNK ÖSSZESITŐ'!F92)</f>
        <v>3200000</v>
      </c>
      <c r="F50" s="76">
        <f>SUM('ÖNK ÖSSZESITŐ'!G92)</f>
        <v>3200000</v>
      </c>
      <c r="G50" s="76">
        <f>SUM('ÖNK ÖSSZESITŐ'!H92)</f>
        <v>3200000</v>
      </c>
      <c r="H50" s="997">
        <f t="shared" si="0"/>
        <v>0.9773976786805131</v>
      </c>
      <c r="I50" s="76">
        <v>3200000</v>
      </c>
      <c r="J50" s="76">
        <f>SUM('ÖNK ÖSSZESITŐ'!J92)</f>
        <v>3071000</v>
      </c>
      <c r="K50" s="76">
        <f>SUM('ÖNK ÖSSZESITŐ'!K92)</f>
        <v>4659500</v>
      </c>
    </row>
    <row r="51" spans="1:11" s="78" customFormat="1" ht="12.75" customHeight="1">
      <c r="A51" s="74" t="s">
        <v>131</v>
      </c>
      <c r="B51" s="75" t="s">
        <v>187</v>
      </c>
      <c r="C51" s="10" t="s">
        <v>925</v>
      </c>
      <c r="D51" s="76"/>
      <c r="E51" s="76"/>
      <c r="F51" s="76"/>
      <c r="G51" s="76"/>
      <c r="H51" s="997"/>
      <c r="I51" s="76"/>
      <c r="J51" s="76">
        <v>53488</v>
      </c>
      <c r="K51" s="76">
        <v>53488</v>
      </c>
    </row>
    <row r="52" spans="1:11" s="78" customFormat="1" ht="12.75" customHeight="1">
      <c r="A52" s="74" t="s">
        <v>133</v>
      </c>
      <c r="B52" s="75" t="s">
        <v>188</v>
      </c>
      <c r="C52" s="10" t="s">
        <v>150</v>
      </c>
      <c r="D52" s="77">
        <f>SUM('ÖNK ÖSSZESITŐ'!E95)</f>
        <v>33438000</v>
      </c>
      <c r="E52" s="77">
        <f>SUM('ÖNK ÖSSZESITŐ'!F95)</f>
        <v>41078165</v>
      </c>
      <c r="F52" s="77">
        <f>SUM('ÖNK ÖSSZESITŐ'!G95)</f>
        <v>52854665</v>
      </c>
      <c r="G52" s="77">
        <f>SUM('ÖNK ÖSSZESITŐ'!H95)</f>
        <v>47279029</v>
      </c>
      <c r="H52" s="997">
        <f t="shared" si="0"/>
        <v>1.2284874992523476</v>
      </c>
      <c r="I52" s="77">
        <f>SUM('ÖNK ÖSSZESITŐ'!J95)</f>
        <v>47279029</v>
      </c>
      <c r="J52" s="77">
        <f>SUM('ÖNK ÖSSZESITŐ'!J95)</f>
        <v>47279029</v>
      </c>
      <c r="K52" s="77">
        <f>SUM('ÖNK ÖSSZESITŐ'!K95)</f>
        <v>715261087</v>
      </c>
    </row>
    <row r="53" spans="1:11" ht="12.75" customHeight="1">
      <c r="A53" s="95" t="s">
        <v>135</v>
      </c>
      <c r="B53" s="98"/>
      <c r="C53" s="70" t="s">
        <v>197</v>
      </c>
      <c r="D53" s="99">
        <v>33438000</v>
      </c>
      <c r="E53" s="99">
        <f>SUM(E52-E54)</f>
        <v>37226618</v>
      </c>
      <c r="F53" s="99">
        <f>SUM(F52-F54)</f>
        <v>49003118</v>
      </c>
      <c r="G53" s="99">
        <f>SUM(G52-G54)</f>
        <v>44257605</v>
      </c>
      <c r="H53" s="997"/>
      <c r="I53" s="99">
        <f>SUM(I52-I54)</f>
        <v>44257605</v>
      </c>
      <c r="J53" s="99">
        <f>SUM(J52-J54)</f>
        <v>44257605</v>
      </c>
      <c r="K53" s="99">
        <v>597360397</v>
      </c>
    </row>
    <row r="54" spans="1:11" ht="12.75" customHeight="1">
      <c r="A54" s="95" t="s">
        <v>137</v>
      </c>
      <c r="B54" s="98"/>
      <c r="C54" s="82" t="s">
        <v>198</v>
      </c>
      <c r="D54" s="100">
        <v>0</v>
      </c>
      <c r="E54" s="100">
        <v>3851547</v>
      </c>
      <c r="F54" s="100">
        <v>3851547</v>
      </c>
      <c r="G54" s="100">
        <v>3021424</v>
      </c>
      <c r="H54" s="997"/>
      <c r="I54" s="100">
        <v>3021424</v>
      </c>
      <c r="J54" s="100">
        <v>3021424</v>
      </c>
      <c r="K54" s="100">
        <v>117900690</v>
      </c>
    </row>
    <row r="55" spans="1:11" s="78" customFormat="1" ht="12.75" customHeight="1">
      <c r="A55" s="101" t="s">
        <v>139</v>
      </c>
      <c r="B55" s="85" t="s">
        <v>190</v>
      </c>
      <c r="C55" s="85" t="s">
        <v>206</v>
      </c>
      <c r="D55" s="102">
        <f>SUM('ÖNK ÖSSZESITŐ'!E91)+'ÖNK ÖSSZESITŐ'!E96+400000</f>
        <v>36328000</v>
      </c>
      <c r="E55" s="102">
        <f>SUM('ÖNK ÖSSZESITŐ'!F91)</f>
        <v>28610089</v>
      </c>
      <c r="F55" s="102">
        <f>SUM('ÖNK ÖSSZESITŐ'!G91)</f>
        <v>31516089</v>
      </c>
      <c r="G55" s="102">
        <f>SUM('ÖNK ÖSSZESITŐ'!H91)</f>
        <v>33989291</v>
      </c>
      <c r="H55" s="997">
        <f t="shared" si="0"/>
        <v>0.7875492457608456</v>
      </c>
      <c r="I55" s="102">
        <v>33989291</v>
      </c>
      <c r="J55" s="102">
        <v>35173848</v>
      </c>
      <c r="K55" s="102">
        <f>SUM('ÖNK ÖSSZESITŐ'!K91)</f>
        <v>33983308</v>
      </c>
    </row>
    <row r="56" spans="1:11" s="78" customFormat="1" ht="12.75" customHeight="1">
      <c r="A56" s="103" t="s">
        <v>141</v>
      </c>
      <c r="B56" s="104" t="s">
        <v>193</v>
      </c>
      <c r="C56" s="10" t="s">
        <v>132</v>
      </c>
      <c r="D56" s="77">
        <v>98323000</v>
      </c>
      <c r="E56" s="77">
        <f>SUM('6. 7.8. M  '!D23)</f>
        <v>27792174</v>
      </c>
      <c r="F56" s="77">
        <f>SUM('6. 7.8. M  '!E23)</f>
        <v>21592174</v>
      </c>
      <c r="G56" s="77">
        <f>SUM('6. 7.8. M  '!F23)</f>
        <v>22024137</v>
      </c>
      <c r="H56" s="997">
        <f t="shared" si="0"/>
        <v>0.2826619814285569</v>
      </c>
      <c r="I56" s="77">
        <v>22024137</v>
      </c>
      <c r="J56" s="77">
        <v>340658866</v>
      </c>
      <c r="K56" s="77">
        <v>23294331</v>
      </c>
    </row>
    <row r="57" spans="1:11" s="67" customFormat="1" ht="12.75" customHeight="1">
      <c r="A57" s="74" t="s">
        <v>143</v>
      </c>
      <c r="B57" s="75" t="s">
        <v>195</v>
      </c>
      <c r="C57" s="10" t="s">
        <v>134</v>
      </c>
      <c r="D57" s="77">
        <v>392000</v>
      </c>
      <c r="E57" s="77">
        <f>SUM('6. 7.8. M  '!D14)</f>
        <v>400000</v>
      </c>
      <c r="F57" s="77">
        <f>SUM('6. 7.8. M  '!E14)</f>
        <v>2343000</v>
      </c>
      <c r="G57" s="77">
        <f>SUM('6. 7.8. M  '!F14)</f>
        <v>7088513</v>
      </c>
      <c r="H57" s="997">
        <f t="shared" si="0"/>
        <v>1.0204081632653061</v>
      </c>
      <c r="I57" s="77">
        <v>7088513</v>
      </c>
      <c r="J57" s="77">
        <v>23594763</v>
      </c>
      <c r="K57" s="77">
        <v>17618312</v>
      </c>
    </row>
    <row r="58" spans="1:11" s="78" customFormat="1" ht="12" customHeight="1" thickBot="1">
      <c r="A58" s="101" t="s">
        <v>145</v>
      </c>
      <c r="B58" s="84" t="s">
        <v>199</v>
      </c>
      <c r="C58" s="85" t="s">
        <v>207</v>
      </c>
      <c r="D58" s="102">
        <v>805000</v>
      </c>
      <c r="E58" s="102">
        <v>0</v>
      </c>
      <c r="F58" s="102">
        <v>0</v>
      </c>
      <c r="G58" s="102">
        <v>0</v>
      </c>
      <c r="H58" s="997">
        <f t="shared" si="0"/>
        <v>0</v>
      </c>
      <c r="I58" s="102">
        <v>0</v>
      </c>
      <c r="J58" s="102">
        <v>0</v>
      </c>
      <c r="K58" s="102">
        <v>0</v>
      </c>
    </row>
    <row r="59" spans="1:11" s="105" customFormat="1" ht="27" customHeight="1" thickBot="1">
      <c r="A59" s="1657" t="s">
        <v>147</v>
      </c>
      <c r="B59" s="1657"/>
      <c r="C59" s="998" t="s">
        <v>208</v>
      </c>
      <c r="D59" s="999">
        <f>SUM(D47+D50+D55+D56)+D57+D58+D48+D49+D52</f>
        <v>600006000</v>
      </c>
      <c r="E59" s="999">
        <f>SUM(E47+E50+E55+E56)+E57+E58+E48+E49+E52</f>
        <v>480536488</v>
      </c>
      <c r="F59" s="999">
        <f>SUM(F47+F50+F55+F56)+F57+F58+F48+F49+F52</f>
        <v>483509703</v>
      </c>
      <c r="G59" s="999">
        <f>SUM(G47+G50+G55+G56)+G57+G58+G48+G49+G52</f>
        <v>486559102</v>
      </c>
      <c r="H59" s="1000">
        <f>SUM(E59/D59)</f>
        <v>0.8008861378052886</v>
      </c>
      <c r="I59" s="999">
        <f>SUM(I47+I50+I55+I56)+I57+I58+I48+I49+I52</f>
        <v>486559102</v>
      </c>
      <c r="J59" s="999">
        <f>SUM(J47+J50+J55+J56)+J57+J58+J48+J49+J52+J51</f>
        <v>854774412</v>
      </c>
      <c r="K59" s="999">
        <f>SUM(K47+K50+K55+K56)+K57+K58+K48+K49+K52+K51</f>
        <v>1189454522</v>
      </c>
    </row>
    <row r="60" spans="1:11" s="78" customFormat="1" ht="25.5" customHeight="1">
      <c r="A60" s="1004" t="s">
        <v>149</v>
      </c>
      <c r="B60" s="1005" t="s">
        <v>236</v>
      </c>
      <c r="C60" s="1006" t="s">
        <v>210</v>
      </c>
      <c r="D60" s="1007">
        <v>80000000</v>
      </c>
      <c r="E60" s="1007">
        <v>0</v>
      </c>
      <c r="F60" s="1164">
        <v>0</v>
      </c>
      <c r="G60" s="1164">
        <v>0</v>
      </c>
      <c r="H60" s="1010">
        <f>SUM(E60/D60)</f>
        <v>0</v>
      </c>
      <c r="I60" s="1164">
        <v>0</v>
      </c>
      <c r="J60" s="1164">
        <v>0</v>
      </c>
      <c r="K60" s="1164">
        <v>0</v>
      </c>
    </row>
    <row r="61" spans="1:11" s="78" customFormat="1" ht="12.75" customHeight="1">
      <c r="A61" s="735" t="s">
        <v>151</v>
      </c>
      <c r="B61" s="640" t="s">
        <v>573</v>
      </c>
      <c r="C61" s="640" t="s">
        <v>200</v>
      </c>
      <c r="D61" s="662">
        <f>SUM('ÖNK ÖSSZESITŐ'!E99)</f>
        <v>10204000</v>
      </c>
      <c r="E61" s="662">
        <f>SUM('ÖNK ÖSSZESITŐ'!F99)</f>
        <v>6401277</v>
      </c>
      <c r="F61" s="662">
        <f>SUM('ÖNK ÖSSZESITŐ'!G99)</f>
        <v>7745538</v>
      </c>
      <c r="G61" s="662">
        <f>SUM('ÖNK ÖSSZESITŐ'!H99)</f>
        <v>8502671</v>
      </c>
      <c r="H61" s="989">
        <f>SUM(E61/D61)</f>
        <v>0.6273301646413171</v>
      </c>
      <c r="I61" s="662">
        <v>8502671</v>
      </c>
      <c r="J61" s="662">
        <f>SUM('ÖNK ÖSSZESITŐ'!J99)</f>
        <v>9473678</v>
      </c>
      <c r="K61" s="662">
        <f>SUM('ÖNK ÖSSZESITŐ'!K99)</f>
        <v>10321373</v>
      </c>
    </row>
    <row r="62" spans="1:11" s="107" customFormat="1" ht="22.5" customHeight="1">
      <c r="A62" s="1658" t="s">
        <v>209</v>
      </c>
      <c r="B62" s="1659"/>
      <c r="C62" s="1002" t="s">
        <v>213</v>
      </c>
      <c r="D62" s="1003">
        <f>SUM(D60:D61)</f>
        <v>90204000</v>
      </c>
      <c r="E62" s="1003">
        <f>SUM(E60:E61)</f>
        <v>6401277</v>
      </c>
      <c r="F62" s="1003">
        <f>SUM(F60:F61)</f>
        <v>7745538</v>
      </c>
      <c r="G62" s="1003">
        <f>SUM(G60:G61)</f>
        <v>8502671</v>
      </c>
      <c r="H62" s="989">
        <f>SUM(E62/D62)</f>
        <v>0.07096444725289344</v>
      </c>
      <c r="I62" s="1003">
        <f>SUM(I60:I61)</f>
        <v>8502671</v>
      </c>
      <c r="J62" s="1003">
        <f>SUM(J60:J61)</f>
        <v>9473678</v>
      </c>
      <c r="K62" s="1003">
        <f>SUM(K60:K61)</f>
        <v>10321373</v>
      </c>
    </row>
    <row r="63" spans="1:11" s="108" customFormat="1" ht="22.5" customHeight="1" thickBot="1">
      <c r="A63" s="1660" t="s">
        <v>211</v>
      </c>
      <c r="B63" s="1661"/>
      <c r="C63" s="1008" t="s">
        <v>215</v>
      </c>
      <c r="D63" s="1009">
        <f aca="true" t="shared" si="1" ref="D63:J63">SUM(D59+D62)</f>
        <v>690210000</v>
      </c>
      <c r="E63" s="1009">
        <f t="shared" si="1"/>
        <v>486937765</v>
      </c>
      <c r="F63" s="1009">
        <f t="shared" si="1"/>
        <v>491255241</v>
      </c>
      <c r="G63" s="1009">
        <f t="shared" si="1"/>
        <v>495061773</v>
      </c>
      <c r="H63" s="1011">
        <f t="shared" si="1"/>
        <v>0.871850585058182</v>
      </c>
      <c r="I63" s="1009">
        <f t="shared" si="1"/>
        <v>495061773</v>
      </c>
      <c r="J63" s="1009">
        <f t="shared" si="1"/>
        <v>864248090</v>
      </c>
      <c r="K63" s="1009">
        <f>SUM(K59+K62)</f>
        <v>1199775895</v>
      </c>
    </row>
    <row r="65" ht="4.5" customHeight="1"/>
    <row r="65525" ht="12.75" customHeight="1"/>
    <row r="65526" ht="12.75" customHeight="1"/>
    <row r="65527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E7:K7"/>
    <mergeCell ref="C3:J3"/>
    <mergeCell ref="A1:J1"/>
    <mergeCell ref="A45:B46"/>
    <mergeCell ref="A59:B59"/>
    <mergeCell ref="A62:B62"/>
    <mergeCell ref="A63:B63"/>
    <mergeCell ref="A8:B9"/>
    <mergeCell ref="A2:K2"/>
    <mergeCell ref="B4:K4"/>
    <mergeCell ref="A5:K5"/>
  </mergeCells>
  <printOptions horizontalCentered="1"/>
  <pageMargins left="0.2755905511811024" right="0.2362204724409449" top="0.1968503937007874" bottom="0.15748031496062992" header="0.5118110236220472" footer="0.5118110236220472"/>
  <pageSetup firstPageNumber="1" useFirstPageNumber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J49"/>
  <sheetViews>
    <sheetView view="pageBreakPreview" zoomScaleSheetLayoutView="100" zoomScalePageLayoutView="0" workbookViewId="0" topLeftCell="A1">
      <selection activeCell="A3" sqref="A3:J3"/>
    </sheetView>
  </sheetViews>
  <sheetFormatPr defaultColWidth="11.7109375" defaultRowHeight="12.75" customHeight="1"/>
  <cols>
    <col min="1" max="1" width="3.8515625" style="56" customWidth="1"/>
    <col min="2" max="2" width="4.57421875" style="109" customWidth="1"/>
    <col min="3" max="3" width="39.57421875" style="56" customWidth="1"/>
    <col min="4" max="4" width="18.28125" style="56" customWidth="1"/>
    <col min="5" max="10" width="18.7109375" style="56" customWidth="1"/>
    <col min="11" max="16384" width="11.7109375" style="56" customWidth="1"/>
  </cols>
  <sheetData>
    <row r="1" spans="1:9" ht="12.75" customHeight="1">
      <c r="A1" s="1673" t="s">
        <v>216</v>
      </c>
      <c r="B1" s="1673"/>
      <c r="C1" s="1673"/>
      <c r="D1" s="1673"/>
      <c r="E1" s="1673"/>
      <c r="F1" s="1673"/>
      <c r="G1" s="1673"/>
      <c r="H1" s="1673"/>
      <c r="I1" s="1673"/>
    </row>
    <row r="2" spans="1:10" ht="19.5" customHeight="1">
      <c r="A2" s="1666" t="s">
        <v>1133</v>
      </c>
      <c r="B2" s="1666"/>
      <c r="C2" s="1666"/>
      <c r="D2" s="1666"/>
      <c r="E2" s="1666"/>
      <c r="F2" s="1666"/>
      <c r="G2" s="1666"/>
      <c r="H2" s="1666"/>
      <c r="I2" s="1666"/>
      <c r="J2" s="1666"/>
    </row>
    <row r="3" spans="1:10" ht="26.25" customHeight="1">
      <c r="A3" s="1672" t="s">
        <v>1132</v>
      </c>
      <c r="B3" s="1672"/>
      <c r="C3" s="1672"/>
      <c r="D3" s="1672"/>
      <c r="E3" s="1672"/>
      <c r="F3" s="1672"/>
      <c r="G3" s="1672"/>
      <c r="H3" s="1672"/>
      <c r="I3" s="1672"/>
      <c r="J3" s="1672"/>
    </row>
    <row r="4" spans="1:10" s="1" customFormat="1" ht="19.5" customHeight="1">
      <c r="A4" s="1670" t="s">
        <v>217</v>
      </c>
      <c r="B4" s="1670"/>
      <c r="C4" s="1670"/>
      <c r="D4" s="1670"/>
      <c r="E4" s="1670"/>
      <c r="F4" s="1670"/>
      <c r="G4" s="1670"/>
      <c r="H4" s="1670"/>
      <c r="I4" s="1670"/>
      <c r="J4" s="1670"/>
    </row>
    <row r="5" spans="1:10" s="1" customFormat="1" ht="19.5" customHeight="1">
      <c r="A5" s="1101"/>
      <c r="B5" s="1101"/>
      <c r="C5" s="1101"/>
      <c r="D5" s="1101"/>
      <c r="E5" s="1101"/>
      <c r="F5" s="1101"/>
      <c r="G5" s="1101"/>
      <c r="H5" s="1101"/>
      <c r="I5" s="1101"/>
      <c r="J5" s="1101"/>
    </row>
    <row r="6" spans="1:10" s="1" customFormat="1" ht="21.75" customHeight="1" thickBot="1">
      <c r="A6" s="6"/>
      <c r="B6" s="112" t="s">
        <v>218</v>
      </c>
      <c r="F6" s="1671" t="s">
        <v>219</v>
      </c>
      <c r="G6" s="1671"/>
      <c r="H6" s="1671"/>
      <c r="I6" s="1671"/>
      <c r="J6" s="1671"/>
    </row>
    <row r="7" spans="1:10" s="1" customFormat="1" ht="12.75" customHeight="1">
      <c r="A7" s="1676" t="s">
        <v>156</v>
      </c>
      <c r="B7" s="1668"/>
      <c r="C7" s="1679" t="s">
        <v>220</v>
      </c>
      <c r="D7" s="1668" t="s">
        <v>158</v>
      </c>
      <c r="E7" s="1668" t="s">
        <v>159</v>
      </c>
      <c r="F7" s="1668" t="s">
        <v>793</v>
      </c>
      <c r="G7" s="1668" t="s">
        <v>803</v>
      </c>
      <c r="H7" s="1668" t="s">
        <v>885</v>
      </c>
      <c r="I7" s="1668" t="s">
        <v>891</v>
      </c>
      <c r="J7" s="1668" t="s">
        <v>947</v>
      </c>
    </row>
    <row r="8" spans="1:10" s="114" customFormat="1" ht="33" customHeight="1">
      <c r="A8" s="1677"/>
      <c r="B8" s="1678"/>
      <c r="C8" s="1680"/>
      <c r="D8" s="1669"/>
      <c r="E8" s="1669"/>
      <c r="F8" s="1669"/>
      <c r="G8" s="1669"/>
      <c r="H8" s="1669"/>
      <c r="I8" s="1669"/>
      <c r="J8" s="1669"/>
    </row>
    <row r="9" spans="1:10" s="1" customFormat="1" ht="12.75" customHeight="1" thickBot="1">
      <c r="A9" s="1674" t="s">
        <v>161</v>
      </c>
      <c r="B9" s="1675"/>
      <c r="C9" s="484" t="s">
        <v>162</v>
      </c>
      <c r="D9" s="485" t="s">
        <v>163</v>
      </c>
      <c r="E9" s="485" t="s">
        <v>164</v>
      </c>
      <c r="F9" s="485" t="s">
        <v>505</v>
      </c>
      <c r="G9" s="485" t="s">
        <v>525</v>
      </c>
      <c r="H9" s="485" t="s">
        <v>804</v>
      </c>
      <c r="I9" s="485" t="s">
        <v>890</v>
      </c>
      <c r="J9" s="485" t="s">
        <v>895</v>
      </c>
    </row>
    <row r="10" spans="1:10" s="1" customFormat="1" ht="31.5" customHeight="1">
      <c r="A10" s="1095" t="s">
        <v>38</v>
      </c>
      <c r="B10" s="132"/>
      <c r="C10" s="483" t="s">
        <v>168</v>
      </c>
      <c r="D10" s="478">
        <f>SUM('1. melléklet'!D12)</f>
        <v>229645000</v>
      </c>
      <c r="E10" s="478">
        <f>SUM('1. melléklet'!E12)</f>
        <v>197812079</v>
      </c>
      <c r="F10" s="478">
        <v>194594252</v>
      </c>
      <c r="G10" s="478">
        <v>197556011</v>
      </c>
      <c r="H10" s="478">
        <v>197556011</v>
      </c>
      <c r="I10" s="478">
        <v>237576080</v>
      </c>
      <c r="J10" s="478">
        <v>331457672</v>
      </c>
    </row>
    <row r="11" spans="1:10" s="1" customFormat="1" ht="21" customHeight="1">
      <c r="A11" s="1096" t="s">
        <v>40</v>
      </c>
      <c r="B11" s="115"/>
      <c r="C11" s="116" t="s">
        <v>177</v>
      </c>
      <c r="D11" s="72">
        <f>SUM('1. melléklet'!D19)</f>
        <v>149880000</v>
      </c>
      <c r="E11" s="72">
        <f>SUM('1. melléklet'!E19)</f>
        <v>150155000</v>
      </c>
      <c r="F11" s="72">
        <f>SUM('1. melléklet'!F19)</f>
        <v>150155000</v>
      </c>
      <c r="G11" s="72">
        <f>SUM('1. melléklet'!G19)</f>
        <v>150155000</v>
      </c>
      <c r="H11" s="72">
        <f>SUM('1. melléklet'!I19)</f>
        <v>150155000</v>
      </c>
      <c r="I11" s="72">
        <v>150455000</v>
      </c>
      <c r="J11" s="72">
        <v>171345614</v>
      </c>
    </row>
    <row r="12" spans="1:10" s="1" customFormat="1" ht="12.75" customHeight="1">
      <c r="A12" s="1096" t="s">
        <v>47</v>
      </c>
      <c r="B12" s="115"/>
      <c r="C12" s="116" t="s">
        <v>9</v>
      </c>
      <c r="D12" s="72">
        <f>SUM('1. melléklet'!D29)</f>
        <v>41754000</v>
      </c>
      <c r="E12" s="72">
        <f>SUM('1. melléklet'!E29)</f>
        <v>40273909</v>
      </c>
      <c r="F12" s="72">
        <f>SUM('1. melléklet'!F29)</f>
        <v>43021909</v>
      </c>
      <c r="G12" s="72">
        <f>SUM('1. melléklet'!G29)</f>
        <v>43021909</v>
      </c>
      <c r="H12" s="72">
        <f>SUM('1. melléklet'!I29)</f>
        <v>43022909</v>
      </c>
      <c r="I12" s="72">
        <v>43020268</v>
      </c>
      <c r="J12" s="72">
        <v>43507352</v>
      </c>
    </row>
    <row r="13" spans="1:10" s="1" customFormat="1" ht="12.75" customHeight="1" thickBot="1">
      <c r="A13" s="1097" t="s">
        <v>49</v>
      </c>
      <c r="B13" s="469"/>
      <c r="C13" s="470" t="s">
        <v>189</v>
      </c>
      <c r="D13" s="129">
        <f>SUM('1. melléklet'!D31)</f>
        <v>1878000</v>
      </c>
      <c r="E13" s="129">
        <f>SUM('1. melléklet'!E31)</f>
        <v>0</v>
      </c>
      <c r="F13" s="129">
        <f>SUM('1. melléklet'!F31)</f>
        <v>215000</v>
      </c>
      <c r="G13" s="129">
        <f>SUM('1. melléklet'!G31)</f>
        <v>700800</v>
      </c>
      <c r="H13" s="129">
        <f>SUM('1. melléklet'!I31)</f>
        <v>700800</v>
      </c>
      <c r="I13" s="129">
        <v>1063138</v>
      </c>
      <c r="J13" s="129">
        <v>1507008</v>
      </c>
    </row>
    <row r="14" spans="1:10" s="1" customFormat="1" ht="12.75" customHeight="1" thickBot="1">
      <c r="A14" s="471" t="s">
        <v>51</v>
      </c>
      <c r="B14" s="472" t="s">
        <v>167</v>
      </c>
      <c r="C14" s="473" t="s">
        <v>221</v>
      </c>
      <c r="D14" s="474">
        <f aca="true" t="shared" si="0" ref="D14:I14">SUM(D10:D13)</f>
        <v>423157000</v>
      </c>
      <c r="E14" s="474">
        <f t="shared" si="0"/>
        <v>388240988</v>
      </c>
      <c r="F14" s="474">
        <f t="shared" si="0"/>
        <v>387986161</v>
      </c>
      <c r="G14" s="474">
        <f t="shared" si="0"/>
        <v>391433720</v>
      </c>
      <c r="H14" s="474">
        <f t="shared" si="0"/>
        <v>391434720</v>
      </c>
      <c r="I14" s="474">
        <f t="shared" si="0"/>
        <v>432114486</v>
      </c>
      <c r="J14" s="474">
        <f>SUM(J10:J13)</f>
        <v>547817646</v>
      </c>
    </row>
    <row r="15" spans="1:10" s="1" customFormat="1" ht="12.75" customHeight="1">
      <c r="A15" s="1095" t="s">
        <v>53</v>
      </c>
      <c r="B15" s="132"/>
      <c r="C15" s="399" t="s">
        <v>121</v>
      </c>
      <c r="D15" s="131">
        <f>SUM('1. melléklet'!D47)</f>
        <v>215804000</v>
      </c>
      <c r="E15" s="131">
        <f>SUM('1. melléklet'!E47)</f>
        <v>210961000</v>
      </c>
      <c r="F15" s="131">
        <f>SUM('1. melléklet'!F47)</f>
        <v>207237896</v>
      </c>
      <c r="G15" s="131">
        <f>SUM('1. melléklet'!G47)</f>
        <v>208507299</v>
      </c>
      <c r="H15" s="131">
        <v>208507299</v>
      </c>
      <c r="I15" s="131">
        <v>211298067</v>
      </c>
      <c r="J15" s="131">
        <v>208946160</v>
      </c>
    </row>
    <row r="16" spans="1:10" s="1" customFormat="1" ht="28.5" customHeight="1">
      <c r="A16" s="1096" t="s">
        <v>55</v>
      </c>
      <c r="B16" s="115"/>
      <c r="C16" s="120" t="s">
        <v>203</v>
      </c>
      <c r="D16" s="131">
        <f>SUM('1. melléklet'!D48)</f>
        <v>55844000</v>
      </c>
      <c r="E16" s="131">
        <f>SUM('1. melléklet'!E48)</f>
        <v>46335000</v>
      </c>
      <c r="F16" s="131">
        <f>SUM('1. melléklet'!F48)</f>
        <v>45921315</v>
      </c>
      <c r="G16" s="131">
        <f>SUM('1. melléklet'!G48)</f>
        <v>46230616</v>
      </c>
      <c r="H16" s="131">
        <v>46230616</v>
      </c>
      <c r="I16" s="131">
        <v>46888505</v>
      </c>
      <c r="J16" s="131">
        <v>46468229</v>
      </c>
    </row>
    <row r="17" spans="1:10" s="1" customFormat="1" ht="12.75" customHeight="1">
      <c r="A17" s="1096" t="s">
        <v>57</v>
      </c>
      <c r="B17" s="115"/>
      <c r="C17" s="119" t="s">
        <v>125</v>
      </c>
      <c r="D17" s="131">
        <f>SUM('1. melléklet'!D49)</f>
        <v>155798000</v>
      </c>
      <c r="E17" s="131">
        <f>SUM('1. melléklet'!E49)</f>
        <v>122160060</v>
      </c>
      <c r="F17" s="131">
        <f>SUM('1. melléklet'!F49)</f>
        <v>118844564</v>
      </c>
      <c r="G17" s="131">
        <f>SUM('1. melléklet'!G49)</f>
        <v>118240217</v>
      </c>
      <c r="H17" s="131">
        <v>118240217</v>
      </c>
      <c r="I17" s="131">
        <v>146756846</v>
      </c>
      <c r="J17" s="131">
        <v>139170107</v>
      </c>
    </row>
    <row r="18" spans="1:10" s="1" customFormat="1" ht="12.75" customHeight="1">
      <c r="A18" s="1096" t="s">
        <v>86</v>
      </c>
      <c r="B18" s="115"/>
      <c r="C18" s="120" t="s">
        <v>205</v>
      </c>
      <c r="D18" s="72">
        <f>SUM('1. melléklet'!D50)</f>
        <v>3274000</v>
      </c>
      <c r="E18" s="72">
        <f>SUM('1. melléklet'!E50)</f>
        <v>3200000</v>
      </c>
      <c r="F18" s="72">
        <f>SUM('1. melléklet'!F50)</f>
        <v>3200000</v>
      </c>
      <c r="G18" s="72">
        <f>SUM('1. melléklet'!G50)</f>
        <v>3200000</v>
      </c>
      <c r="H18" s="72">
        <v>3200000</v>
      </c>
      <c r="I18" s="72">
        <v>3071000</v>
      </c>
      <c r="J18" s="72">
        <v>4659500</v>
      </c>
    </row>
    <row r="19" spans="1:10" s="1" customFormat="1" ht="12.75" customHeight="1">
      <c r="A19" s="1096" t="s">
        <v>59</v>
      </c>
      <c r="B19" s="115"/>
      <c r="C19" s="120" t="s">
        <v>925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53488</v>
      </c>
      <c r="J19" s="72">
        <v>53488</v>
      </c>
    </row>
    <row r="20" spans="1:10" s="1" customFormat="1" ht="12.75" customHeight="1">
      <c r="A20" s="1096" t="s">
        <v>61</v>
      </c>
      <c r="B20" s="115"/>
      <c r="C20" s="121" t="s">
        <v>222</v>
      </c>
      <c r="D20" s="72">
        <v>0</v>
      </c>
      <c r="E20" s="72">
        <f>SUM('1. melléklet'!E54)</f>
        <v>3851547</v>
      </c>
      <c r="F20" s="72">
        <f>SUM('1. melléklet'!F54)</f>
        <v>3851547</v>
      </c>
      <c r="G20" s="72">
        <f>SUM('1. melléklet'!G54)</f>
        <v>3021424</v>
      </c>
      <c r="H20" s="72">
        <v>3021424</v>
      </c>
      <c r="I20" s="72">
        <f>SUM('1. melléklet'!I54)</f>
        <v>3021424</v>
      </c>
      <c r="J20" s="72">
        <v>117900690</v>
      </c>
    </row>
    <row r="21" spans="1:10" s="1" customFormat="1" ht="12.75" customHeight="1" thickBot="1">
      <c r="A21" s="1097" t="s">
        <v>63</v>
      </c>
      <c r="B21" s="469"/>
      <c r="C21" s="475" t="s">
        <v>206</v>
      </c>
      <c r="D21" s="476">
        <f>SUM('1. melléklet'!D55)</f>
        <v>36328000</v>
      </c>
      <c r="E21" s="476">
        <f>SUM('1. melléklet'!E55)</f>
        <v>28610089</v>
      </c>
      <c r="F21" s="476">
        <f>SUM('1. melléklet'!F55)</f>
        <v>31516089</v>
      </c>
      <c r="G21" s="476">
        <f>SUM('1. melléklet'!G55)</f>
        <v>33989291</v>
      </c>
      <c r="H21" s="476">
        <v>33989291</v>
      </c>
      <c r="I21" s="476">
        <v>35173848</v>
      </c>
      <c r="J21" s="476">
        <v>33983308</v>
      </c>
    </row>
    <row r="22" spans="1:10" s="1" customFormat="1" ht="12.75" customHeight="1" thickBot="1">
      <c r="A22" s="471" t="s">
        <v>65</v>
      </c>
      <c r="B22" s="472" t="s">
        <v>169</v>
      </c>
      <c r="C22" s="473" t="s">
        <v>223</v>
      </c>
      <c r="D22" s="479">
        <f aca="true" t="shared" si="1" ref="D22:I22">SUM(D15:D21)</f>
        <v>467048000</v>
      </c>
      <c r="E22" s="479">
        <f t="shared" si="1"/>
        <v>415117696</v>
      </c>
      <c r="F22" s="479">
        <f t="shared" si="1"/>
        <v>410571411</v>
      </c>
      <c r="G22" s="479">
        <f t="shared" si="1"/>
        <v>413188847</v>
      </c>
      <c r="H22" s="479">
        <f t="shared" si="1"/>
        <v>413188847</v>
      </c>
      <c r="I22" s="479">
        <f t="shared" si="1"/>
        <v>446263178</v>
      </c>
      <c r="J22" s="479">
        <f>SUM(J15:J21)</f>
        <v>551181482</v>
      </c>
    </row>
    <row r="23" spans="1:10" s="1" customFormat="1" ht="12.75" customHeight="1">
      <c r="A23" s="1095" t="s">
        <v>92</v>
      </c>
      <c r="B23" s="132"/>
      <c r="C23" s="477" t="s">
        <v>224</v>
      </c>
      <c r="D23" s="478">
        <f aca="true" t="shared" si="2" ref="D23:I23">SUM(D24:D25)</f>
        <v>80000000</v>
      </c>
      <c r="E23" s="478">
        <f t="shared" si="2"/>
        <v>0</v>
      </c>
      <c r="F23" s="478">
        <f t="shared" si="2"/>
        <v>0</v>
      </c>
      <c r="G23" s="478">
        <f t="shared" si="2"/>
        <v>0</v>
      </c>
      <c r="H23" s="478">
        <f t="shared" si="2"/>
        <v>0</v>
      </c>
      <c r="I23" s="478">
        <f t="shared" si="2"/>
        <v>0</v>
      </c>
      <c r="J23" s="478">
        <f>SUM(J24:J25)</f>
        <v>0</v>
      </c>
    </row>
    <row r="24" spans="1:10" s="467" customFormat="1" ht="27" customHeight="1">
      <c r="A24" s="1098" t="s">
        <v>66</v>
      </c>
      <c r="B24" s="465"/>
      <c r="C24" s="462" t="s">
        <v>649</v>
      </c>
      <c r="D24" s="466">
        <v>80000000</v>
      </c>
      <c r="E24" s="466">
        <v>0</v>
      </c>
      <c r="F24" s="466">
        <v>0</v>
      </c>
      <c r="G24" s="466">
        <v>0</v>
      </c>
      <c r="H24" s="466">
        <v>0</v>
      </c>
      <c r="I24" s="466">
        <v>0</v>
      </c>
      <c r="J24" s="466">
        <v>0</v>
      </c>
    </row>
    <row r="25" spans="1:10" s="467" customFormat="1" ht="30" customHeight="1">
      <c r="A25" s="1098" t="s">
        <v>67</v>
      </c>
      <c r="B25" s="465"/>
      <c r="C25" s="462" t="s">
        <v>650</v>
      </c>
      <c r="D25" s="466">
        <v>0</v>
      </c>
      <c r="E25" s="466">
        <v>0</v>
      </c>
      <c r="F25" s="466">
        <v>0</v>
      </c>
      <c r="G25" s="466">
        <v>0</v>
      </c>
      <c r="H25" s="466">
        <v>0</v>
      </c>
      <c r="I25" s="466">
        <v>0</v>
      </c>
      <c r="J25" s="466">
        <v>0</v>
      </c>
    </row>
    <row r="26" spans="1:10" s="1" customFormat="1" ht="12.75" customHeight="1">
      <c r="A26" s="1096" t="s">
        <v>68</v>
      </c>
      <c r="B26" s="115"/>
      <c r="C26" s="122" t="s">
        <v>225</v>
      </c>
      <c r="D26" s="72">
        <f>SUM('1. melléklet'!D36)</f>
        <v>60159000</v>
      </c>
      <c r="E26" s="72">
        <f>SUM('1. melléklet'!E36)</f>
        <v>51655670</v>
      </c>
      <c r="F26" s="72">
        <f>SUM('1. melléklet'!F36)</f>
        <v>52133712</v>
      </c>
      <c r="G26" s="72">
        <f>SUM('1. melléklet'!G36)</f>
        <v>52133712</v>
      </c>
      <c r="H26" s="72">
        <v>52133712</v>
      </c>
      <c r="I26" s="72">
        <f>SUM('1. melléklet'!I36)</f>
        <v>52133712</v>
      </c>
      <c r="J26" s="72">
        <f>SUM('1. melléklet'!J36)</f>
        <v>52133712</v>
      </c>
    </row>
    <row r="27" spans="1:10" s="113" customFormat="1" ht="12.75" customHeight="1">
      <c r="A27" s="1099" t="s">
        <v>70</v>
      </c>
      <c r="B27" s="123"/>
      <c r="C27" s="124" t="s">
        <v>197</v>
      </c>
      <c r="D27" s="125">
        <f>SUM('1. melléklet'!D37)</f>
        <v>10217000</v>
      </c>
      <c r="E27" s="125">
        <f>SUM('1. melléklet'!E37)</f>
        <v>24778962</v>
      </c>
      <c r="F27" s="125">
        <f>SUM('1. melléklet'!F37)</f>
        <v>29548462</v>
      </c>
      <c r="G27" s="125">
        <f>SUM('1. melléklet'!G37)</f>
        <v>29548462</v>
      </c>
      <c r="H27" s="125">
        <v>29548462</v>
      </c>
      <c r="I27" s="125">
        <v>37985020</v>
      </c>
      <c r="J27" s="125">
        <v>48769876</v>
      </c>
    </row>
    <row r="28" spans="1:10" s="113" customFormat="1" ht="12.75" customHeight="1">
      <c r="A28" s="1099" t="s">
        <v>97</v>
      </c>
      <c r="B28" s="123"/>
      <c r="C28" s="126" t="s">
        <v>198</v>
      </c>
      <c r="D28" s="125">
        <f>SUM('1. melléklet'!D38)</f>
        <v>49942000</v>
      </c>
      <c r="E28" s="125">
        <f>SUM('1. melléklet'!E38)</f>
        <v>26876708</v>
      </c>
      <c r="F28" s="125">
        <f>SUM('1. melléklet'!F38)</f>
        <v>22585250</v>
      </c>
      <c r="G28" s="125">
        <f>SUM('1. melléklet'!G38)</f>
        <v>22585250</v>
      </c>
      <c r="H28" s="125">
        <v>22585250</v>
      </c>
      <c r="I28" s="125">
        <v>14148692</v>
      </c>
      <c r="J28" s="125">
        <v>3363836</v>
      </c>
    </row>
    <row r="29" spans="1:10" s="1" customFormat="1" ht="12.75" customHeight="1" thickBot="1">
      <c r="A29" s="1097" t="s">
        <v>99</v>
      </c>
      <c r="B29" s="469"/>
      <c r="C29" s="128" t="s">
        <v>226</v>
      </c>
      <c r="D29" s="476">
        <f>SUM('1. melléklet'!D39)</f>
        <v>4153000</v>
      </c>
      <c r="E29" s="476">
        <f>SUM('1. melléklet'!E39)</f>
        <v>6401277</v>
      </c>
      <c r="F29" s="476">
        <f>SUM('1. melléklet'!F39)</f>
        <v>7745538</v>
      </c>
      <c r="G29" s="476">
        <f>SUM('1. melléklet'!G39)</f>
        <v>8502671</v>
      </c>
      <c r="H29" s="476">
        <v>8502671</v>
      </c>
      <c r="I29" s="476">
        <v>9473678</v>
      </c>
      <c r="J29" s="476">
        <v>10623632</v>
      </c>
    </row>
    <row r="30" spans="1:10" s="1" customFormat="1" ht="12.75" customHeight="1" thickBot="1">
      <c r="A30" s="471" t="s">
        <v>101</v>
      </c>
      <c r="B30" s="472" t="s">
        <v>176</v>
      </c>
      <c r="C30" s="481" t="s">
        <v>227</v>
      </c>
      <c r="D30" s="479">
        <f aca="true" t="shared" si="3" ref="D30:I30">SUM(D23+D26+D29)</f>
        <v>144312000</v>
      </c>
      <c r="E30" s="479">
        <f t="shared" si="3"/>
        <v>58056947</v>
      </c>
      <c r="F30" s="479">
        <f t="shared" si="3"/>
        <v>59879250</v>
      </c>
      <c r="G30" s="479">
        <f t="shared" si="3"/>
        <v>60636383</v>
      </c>
      <c r="H30" s="479">
        <f t="shared" si="3"/>
        <v>60636383</v>
      </c>
      <c r="I30" s="479">
        <f t="shared" si="3"/>
        <v>61607390</v>
      </c>
      <c r="J30" s="479">
        <f>SUM(J23+J26+J29)</f>
        <v>62757344</v>
      </c>
    </row>
    <row r="31" spans="1:10" s="1" customFormat="1" ht="27.75" customHeight="1">
      <c r="A31" s="1095" t="s">
        <v>103</v>
      </c>
      <c r="B31" s="132"/>
      <c r="C31" s="480" t="s">
        <v>651</v>
      </c>
      <c r="D31" s="478">
        <f aca="true" t="shared" si="4" ref="D31:I31">SUM(D32:D33)</f>
        <v>80000000</v>
      </c>
      <c r="E31" s="478">
        <f t="shared" si="4"/>
        <v>0</v>
      </c>
      <c r="F31" s="478">
        <f t="shared" si="4"/>
        <v>0</v>
      </c>
      <c r="G31" s="478">
        <f t="shared" si="4"/>
        <v>0</v>
      </c>
      <c r="H31" s="478">
        <f t="shared" si="4"/>
        <v>0</v>
      </c>
      <c r="I31" s="478">
        <f t="shared" si="4"/>
        <v>0</v>
      </c>
      <c r="J31" s="478">
        <f>SUM(J32:J33)</f>
        <v>0</v>
      </c>
    </row>
    <row r="32" spans="1:10" s="464" customFormat="1" ht="27.75" customHeight="1">
      <c r="A32" s="1100" t="s">
        <v>105</v>
      </c>
      <c r="B32" s="461"/>
      <c r="C32" s="462" t="s">
        <v>652</v>
      </c>
      <c r="D32" s="463">
        <v>80000000</v>
      </c>
      <c r="E32" s="463">
        <v>0</v>
      </c>
      <c r="F32" s="463">
        <v>0</v>
      </c>
      <c r="G32" s="463">
        <v>0</v>
      </c>
      <c r="H32" s="463">
        <v>0</v>
      </c>
      <c r="I32" s="463">
        <v>0</v>
      </c>
      <c r="J32" s="463">
        <v>0</v>
      </c>
    </row>
    <row r="33" spans="1:10" s="464" customFormat="1" ht="27.75" customHeight="1">
      <c r="A33" s="1100" t="s">
        <v>107</v>
      </c>
      <c r="B33" s="461"/>
      <c r="C33" s="462" t="s">
        <v>653</v>
      </c>
      <c r="D33" s="463">
        <v>0</v>
      </c>
      <c r="E33" s="463">
        <v>0</v>
      </c>
      <c r="F33" s="463">
        <v>0</v>
      </c>
      <c r="G33" s="463">
        <v>0</v>
      </c>
      <c r="H33" s="463">
        <v>0</v>
      </c>
      <c r="I33" s="463">
        <v>0</v>
      </c>
      <c r="J33" s="463">
        <v>0</v>
      </c>
    </row>
    <row r="34" spans="1:10" s="1" customFormat="1" ht="30.75" customHeight="1" thickBot="1">
      <c r="A34" s="1097" t="s">
        <v>109</v>
      </c>
      <c r="B34" s="469"/>
      <c r="C34" s="128" t="s">
        <v>654</v>
      </c>
      <c r="D34" s="129">
        <f>SUM('1. melléklet'!D61)</f>
        <v>10204000</v>
      </c>
      <c r="E34" s="129">
        <f>SUM('1. melléklet'!E61)</f>
        <v>6401277</v>
      </c>
      <c r="F34" s="129">
        <f>SUM('1. melléklet'!F61)</f>
        <v>7745538</v>
      </c>
      <c r="G34" s="129">
        <f>SUM('1. melléklet'!G61)</f>
        <v>8502671</v>
      </c>
      <c r="H34" s="129">
        <v>8502671</v>
      </c>
      <c r="I34" s="129">
        <v>9473678</v>
      </c>
      <c r="J34" s="129">
        <v>10321373</v>
      </c>
    </row>
    <row r="35" spans="1:10" s="1" customFormat="1" ht="12.75" customHeight="1" thickBot="1">
      <c r="A35" s="471" t="s">
        <v>111</v>
      </c>
      <c r="B35" s="472" t="s">
        <v>186</v>
      </c>
      <c r="C35" s="482" t="s">
        <v>213</v>
      </c>
      <c r="D35" s="479">
        <f>SUM(D31:D31)+D34</f>
        <v>90204000</v>
      </c>
      <c r="E35" s="479">
        <f aca="true" t="shared" si="5" ref="E35:J35">SUM(E31:E34)</f>
        <v>6401277</v>
      </c>
      <c r="F35" s="479">
        <f t="shared" si="5"/>
        <v>7745538</v>
      </c>
      <c r="G35" s="479">
        <f t="shared" si="5"/>
        <v>8502671</v>
      </c>
      <c r="H35" s="479">
        <f t="shared" si="5"/>
        <v>8502671</v>
      </c>
      <c r="I35" s="479">
        <f t="shared" si="5"/>
        <v>9473678</v>
      </c>
      <c r="J35" s="479">
        <f t="shared" si="5"/>
        <v>10321373</v>
      </c>
    </row>
    <row r="36" spans="1:10" s="1" customFormat="1" ht="29.25" customHeight="1">
      <c r="A36" s="1095" t="s">
        <v>113</v>
      </c>
      <c r="B36" s="132"/>
      <c r="C36" s="130" t="s">
        <v>170</v>
      </c>
      <c r="D36" s="131">
        <f>SUM('1. melléklet'!D13)</f>
        <v>80000000</v>
      </c>
      <c r="E36" s="131">
        <f>SUM('1. melléklet'!E13)</f>
        <v>0</v>
      </c>
      <c r="F36" s="131">
        <f>SUM('1. melléklet'!F13)</f>
        <v>0</v>
      </c>
      <c r="G36" s="131">
        <f>SUM('1. melléklet'!G13)</f>
        <v>0</v>
      </c>
      <c r="H36" s="131">
        <f>SUM('1. melléklet'!H13)</f>
        <v>0</v>
      </c>
      <c r="I36" s="131">
        <v>333740979</v>
      </c>
      <c r="J36" s="131">
        <v>579188024</v>
      </c>
    </row>
    <row r="37" spans="1:10" s="1" customFormat="1" ht="12.75" customHeight="1">
      <c r="A37" s="1096" t="s">
        <v>115</v>
      </c>
      <c r="B37" s="115"/>
      <c r="C37" s="119" t="s">
        <v>229</v>
      </c>
      <c r="D37" s="99">
        <f>SUM('1. melléklet'!D30)</f>
        <v>41468000</v>
      </c>
      <c r="E37" s="99">
        <f>SUM('1. melléklet'!E30)</f>
        <v>40639830</v>
      </c>
      <c r="F37" s="99">
        <f>SUM('1. melléklet'!F30)</f>
        <v>40639830</v>
      </c>
      <c r="G37" s="99">
        <f>SUM('1. melléklet'!G30)</f>
        <v>40639830</v>
      </c>
      <c r="H37" s="99">
        <v>40639830</v>
      </c>
      <c r="I37" s="99">
        <v>35985235</v>
      </c>
      <c r="J37" s="99">
        <v>9136370</v>
      </c>
    </row>
    <row r="38" spans="1:10" s="1" customFormat="1" ht="12.75" customHeight="1">
      <c r="A38" s="1097" t="s">
        <v>117</v>
      </c>
      <c r="B38" s="469"/>
      <c r="C38" s="395" t="s">
        <v>230</v>
      </c>
      <c r="D38" s="476">
        <f>SUM('1. melléklet'!D32)</f>
        <v>1273000</v>
      </c>
      <c r="E38" s="476">
        <f>SUM('1. melléklet'!E32)</f>
        <v>0</v>
      </c>
      <c r="F38" s="476">
        <f>SUM('1. melléklet'!F32)</f>
        <v>800000</v>
      </c>
      <c r="G38" s="476">
        <f>SUM('1. melléklet'!G32)</f>
        <v>800000</v>
      </c>
      <c r="H38" s="476">
        <v>800000</v>
      </c>
      <c r="I38" s="476">
        <f>SUM('1. melléklet'!I32)</f>
        <v>800000</v>
      </c>
      <c r="J38" s="476">
        <f>SUM('1. melléklet'!J32)</f>
        <v>800000</v>
      </c>
    </row>
    <row r="39" spans="1:10" s="1" customFormat="1" ht="12.75" customHeight="1">
      <c r="A39" s="736" t="s">
        <v>118</v>
      </c>
      <c r="B39" s="639"/>
      <c r="C39" s="865" t="s">
        <v>778</v>
      </c>
      <c r="D39" s="1019"/>
      <c r="E39" s="1019"/>
      <c r="F39" s="1019"/>
      <c r="G39" s="1019"/>
      <c r="H39" s="1019"/>
      <c r="I39" s="1019"/>
      <c r="J39" s="1019"/>
    </row>
    <row r="40" spans="1:10" s="1" customFormat="1" ht="12.75" customHeight="1">
      <c r="A40" s="638" t="s">
        <v>120</v>
      </c>
      <c r="B40" s="639"/>
      <c r="C40" s="1188" t="s">
        <v>799</v>
      </c>
      <c r="D40" s="1019"/>
      <c r="E40" s="1019"/>
      <c r="F40" s="1019">
        <v>1950000</v>
      </c>
      <c r="G40" s="1019">
        <v>1551840</v>
      </c>
      <c r="H40" s="1019">
        <v>1551840</v>
      </c>
      <c r="I40" s="1019">
        <v>0</v>
      </c>
      <c r="J40" s="1019">
        <v>76511</v>
      </c>
    </row>
    <row r="41" spans="1:10" s="1" customFormat="1" ht="12.75" customHeight="1" thickBot="1">
      <c r="A41" s="1015" t="s">
        <v>122</v>
      </c>
      <c r="B41" s="1016" t="s">
        <v>187</v>
      </c>
      <c r="C41" s="1017" t="s">
        <v>231</v>
      </c>
      <c r="D41" s="1018">
        <f>SUM(D36:D38)</f>
        <v>122741000</v>
      </c>
      <c r="E41" s="1018">
        <f>SUM(E36:E38)</f>
        <v>40639830</v>
      </c>
      <c r="F41" s="1018">
        <f>SUM(F36:F40)</f>
        <v>43389830</v>
      </c>
      <c r="G41" s="1018">
        <f>SUM(G36:G40)</f>
        <v>42991670</v>
      </c>
      <c r="H41" s="1018">
        <f>SUM(H36:H40)</f>
        <v>42991670</v>
      </c>
      <c r="I41" s="1018">
        <f>SUM(I36:I40)</f>
        <v>370526214</v>
      </c>
      <c r="J41" s="1018">
        <f>SUM(J36:J40)</f>
        <v>589200905</v>
      </c>
    </row>
    <row r="42" spans="1:10" s="1" customFormat="1" ht="12.75" customHeight="1">
      <c r="A42" s="1095" t="s">
        <v>124</v>
      </c>
      <c r="B42" s="132"/>
      <c r="C42" s="130" t="s">
        <v>132</v>
      </c>
      <c r="D42" s="131">
        <f>SUM('1. melléklet'!D56)</f>
        <v>98323000</v>
      </c>
      <c r="E42" s="131">
        <f>SUM('1. melléklet'!E56)</f>
        <v>27792174</v>
      </c>
      <c r="F42" s="131">
        <f>SUM('1. melléklet'!F56)</f>
        <v>21592174</v>
      </c>
      <c r="G42" s="131">
        <f>SUM('1. melléklet'!G56)</f>
        <v>22024137</v>
      </c>
      <c r="H42" s="131">
        <v>22024137</v>
      </c>
      <c r="I42" s="131">
        <v>340658866</v>
      </c>
      <c r="J42" s="131">
        <v>23294331</v>
      </c>
    </row>
    <row r="43" spans="1:10" s="1" customFormat="1" ht="12.75" customHeight="1">
      <c r="A43" s="1096" t="s">
        <v>126</v>
      </c>
      <c r="B43" s="115"/>
      <c r="C43" s="119" t="s">
        <v>134</v>
      </c>
      <c r="D43" s="131">
        <f>SUM('1. melléklet'!D57)</f>
        <v>392000</v>
      </c>
      <c r="E43" s="131">
        <f>SUM('1. melléklet'!E57)</f>
        <v>400000</v>
      </c>
      <c r="F43" s="131">
        <f>SUM('1. melléklet'!F57)</f>
        <v>2343000</v>
      </c>
      <c r="G43" s="131">
        <f>SUM('1. melléklet'!G57)</f>
        <v>7088513</v>
      </c>
      <c r="H43" s="131">
        <v>7088513</v>
      </c>
      <c r="I43" s="131">
        <v>23594763</v>
      </c>
      <c r="J43" s="131">
        <v>17618312</v>
      </c>
    </row>
    <row r="44" spans="1:10" s="1" customFormat="1" ht="12.75" customHeight="1">
      <c r="A44" s="1097" t="s">
        <v>128</v>
      </c>
      <c r="B44" s="469"/>
      <c r="C44" s="395" t="s">
        <v>777</v>
      </c>
      <c r="D44" s="131">
        <f>SUM('1. melléklet'!D53)</f>
        <v>33438000</v>
      </c>
      <c r="E44" s="1014">
        <f>SUM('1. melléklet'!E53)</f>
        <v>37226618</v>
      </c>
      <c r="F44" s="1014">
        <f>SUM('1. melléklet'!F53)</f>
        <v>49003118</v>
      </c>
      <c r="G44" s="1014">
        <f>SUM('1. melléklet'!G53)</f>
        <v>44257605</v>
      </c>
      <c r="H44" s="1014">
        <v>44257605</v>
      </c>
      <c r="I44" s="1014">
        <f>SUM('1. melléklet'!I53)</f>
        <v>44257605</v>
      </c>
      <c r="J44" s="1014">
        <v>597360397</v>
      </c>
    </row>
    <row r="45" spans="1:10" s="1" customFormat="1" ht="12.75" customHeight="1" thickBot="1">
      <c r="A45" s="1097" t="s">
        <v>130</v>
      </c>
      <c r="B45" s="469"/>
      <c r="C45" s="395" t="s">
        <v>207</v>
      </c>
      <c r="D45" s="131">
        <f>SUM('1. melléklet'!D58)</f>
        <v>805000</v>
      </c>
      <c r="E45" s="476">
        <v>0</v>
      </c>
      <c r="F45" s="476">
        <v>0</v>
      </c>
      <c r="G45" s="476">
        <v>0</v>
      </c>
      <c r="H45" s="476">
        <v>0</v>
      </c>
      <c r="I45" s="476">
        <v>0</v>
      </c>
      <c r="J45" s="476">
        <v>0</v>
      </c>
    </row>
    <row r="46" spans="1:10" s="1" customFormat="1" ht="12.75" customHeight="1" thickBot="1">
      <c r="A46" s="471" t="s">
        <v>131</v>
      </c>
      <c r="B46" s="472" t="s">
        <v>188</v>
      </c>
      <c r="C46" s="473" t="s">
        <v>232</v>
      </c>
      <c r="D46" s="479">
        <f aca="true" t="shared" si="6" ref="D46:I46">SUM(D42:D45)</f>
        <v>132958000</v>
      </c>
      <c r="E46" s="479">
        <f t="shared" si="6"/>
        <v>65418792</v>
      </c>
      <c r="F46" s="479">
        <f t="shared" si="6"/>
        <v>72938292</v>
      </c>
      <c r="G46" s="479">
        <f t="shared" si="6"/>
        <v>73370255</v>
      </c>
      <c r="H46" s="479">
        <f t="shared" si="6"/>
        <v>73370255</v>
      </c>
      <c r="I46" s="479">
        <f t="shared" si="6"/>
        <v>408511234</v>
      </c>
      <c r="J46" s="479">
        <f>SUM(J42:J45)</f>
        <v>638273040</v>
      </c>
    </row>
    <row r="48" spans="1:10" s="1" customFormat="1" ht="12.75" customHeight="1">
      <c r="A48" s="133"/>
      <c r="B48" s="133"/>
      <c r="C48" s="133" t="s">
        <v>233</v>
      </c>
      <c r="D48" s="134">
        <f aca="true" t="shared" si="7" ref="D48:I48">SUM(D14+D30+D41)</f>
        <v>690210000</v>
      </c>
      <c r="E48" s="134">
        <f t="shared" si="7"/>
        <v>486937765</v>
      </c>
      <c r="F48" s="134">
        <f t="shared" si="7"/>
        <v>491255241</v>
      </c>
      <c r="G48" s="134">
        <f t="shared" si="7"/>
        <v>495061773</v>
      </c>
      <c r="H48" s="134">
        <f t="shared" si="7"/>
        <v>495062773</v>
      </c>
      <c r="I48" s="134">
        <f t="shared" si="7"/>
        <v>864248090</v>
      </c>
      <c r="J48" s="134">
        <f>SUM(J14+J30+J41)</f>
        <v>1199775895</v>
      </c>
    </row>
    <row r="49" spans="1:10" s="1" customFormat="1" ht="12.75" customHeight="1">
      <c r="A49" s="133"/>
      <c r="B49" s="133"/>
      <c r="C49" s="133" t="s">
        <v>215</v>
      </c>
      <c r="D49" s="134">
        <f aca="true" t="shared" si="8" ref="D49:I49">SUM(D22+D35+D46)</f>
        <v>690210000</v>
      </c>
      <c r="E49" s="134">
        <f t="shared" si="8"/>
        <v>486937765</v>
      </c>
      <c r="F49" s="134">
        <f t="shared" si="8"/>
        <v>491255241</v>
      </c>
      <c r="G49" s="134">
        <f t="shared" si="8"/>
        <v>495061773</v>
      </c>
      <c r="H49" s="134">
        <f t="shared" si="8"/>
        <v>495061773</v>
      </c>
      <c r="I49" s="134">
        <f t="shared" si="8"/>
        <v>864248090</v>
      </c>
      <c r="J49" s="134">
        <f>SUM(J22+J35+J46)</f>
        <v>1199775895</v>
      </c>
    </row>
  </sheetData>
  <sheetProtection selectLockedCells="1" selectUnlockedCells="1"/>
  <mergeCells count="15">
    <mergeCell ref="A1:I1"/>
    <mergeCell ref="G7:G8"/>
    <mergeCell ref="F7:F8"/>
    <mergeCell ref="A9:B9"/>
    <mergeCell ref="A7:B8"/>
    <mergeCell ref="C7:C8"/>
    <mergeCell ref="D7:D8"/>
    <mergeCell ref="E7:E8"/>
    <mergeCell ref="J7:J8"/>
    <mergeCell ref="A2:J2"/>
    <mergeCell ref="A4:J4"/>
    <mergeCell ref="F6:J6"/>
    <mergeCell ref="H7:H8"/>
    <mergeCell ref="I7:I8"/>
    <mergeCell ref="A3:J3"/>
  </mergeCells>
  <printOptions horizontalCentered="1"/>
  <pageMargins left="0.7874015748031497" right="0.7874015748031497" top="1.062992125984252" bottom="1.062992125984252" header="0.5118110236220472" footer="0.5118110236220472"/>
  <pageSetup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62"/>
  <sheetViews>
    <sheetView view="pageBreakPreview" zoomScaleSheetLayoutView="100" zoomScalePageLayoutView="0" workbookViewId="0" topLeftCell="A1">
      <selection activeCell="D10" sqref="D10"/>
    </sheetView>
  </sheetViews>
  <sheetFormatPr defaultColWidth="11.7109375" defaultRowHeight="12.75"/>
  <cols>
    <col min="1" max="2" width="3.8515625" style="56" customWidth="1"/>
    <col min="3" max="3" width="44.00390625" style="56" customWidth="1"/>
    <col min="4" max="4" width="17.00390625" style="56" customWidth="1"/>
    <col min="5" max="5" width="17.140625" style="56" customWidth="1"/>
    <col min="6" max="9" width="13.7109375" style="110" customWidth="1"/>
    <col min="10" max="10" width="17.28125" style="110" customWidth="1"/>
    <col min="11" max="16384" width="11.7109375" style="56" customWidth="1"/>
  </cols>
  <sheetData>
    <row r="1" spans="1:9" s="111" customFormat="1" ht="18" customHeight="1">
      <c r="A1" s="1673" t="s">
        <v>234</v>
      </c>
      <c r="B1" s="1673"/>
      <c r="C1" s="1673"/>
      <c r="D1" s="1673"/>
      <c r="E1" s="1673"/>
      <c r="F1" s="1673"/>
      <c r="G1" s="1673"/>
      <c r="H1" s="1673"/>
      <c r="I1" s="1673"/>
    </row>
    <row r="2" spans="1:10" ht="19.5" customHeight="1">
      <c r="A2" s="1688" t="s">
        <v>1133</v>
      </c>
      <c r="B2" s="1688"/>
      <c r="C2" s="1688"/>
      <c r="D2" s="1688"/>
      <c r="E2" s="1688"/>
      <c r="F2" s="1688"/>
      <c r="G2" s="1688"/>
      <c r="H2" s="1688"/>
      <c r="I2" s="1688"/>
      <c r="J2" s="1688"/>
    </row>
    <row r="3" spans="1:10" ht="15" customHeight="1">
      <c r="A3" s="1689" t="s">
        <v>1134</v>
      </c>
      <c r="B3" s="1689"/>
      <c r="C3" s="1689"/>
      <c r="D3" s="1689"/>
      <c r="E3" s="1689"/>
      <c r="F3" s="1689"/>
      <c r="G3" s="1689"/>
      <c r="H3" s="1689"/>
      <c r="I3" s="1689"/>
      <c r="J3" s="1689"/>
    </row>
    <row r="4" spans="1:10" ht="6.75" customHeight="1">
      <c r="A4" s="1685"/>
      <c r="B4" s="1685"/>
      <c r="C4" s="1685"/>
      <c r="D4" s="1685"/>
      <c r="E4" s="1685"/>
      <c r="F4" s="1685"/>
      <c r="G4" s="56"/>
      <c r="H4" s="56"/>
      <c r="I4" s="56"/>
      <c r="J4" s="56"/>
    </row>
    <row r="5" spans="1:10" s="135" customFormat="1" ht="12.75" customHeight="1">
      <c r="A5" s="1687" t="s">
        <v>235</v>
      </c>
      <c r="B5" s="1687"/>
      <c r="C5" s="1687"/>
      <c r="D5" s="1687"/>
      <c r="E5" s="1687"/>
      <c r="F5" s="1687"/>
      <c r="G5" s="1687"/>
      <c r="H5" s="1687"/>
      <c r="I5" s="1687"/>
      <c r="J5" s="1687"/>
    </row>
    <row r="6" spans="1:10" s="135" customFormat="1" ht="12.75" customHeight="1">
      <c r="A6" s="1687"/>
      <c r="B6" s="1687"/>
      <c r="C6" s="1687"/>
      <c r="D6" s="1687"/>
      <c r="E6" s="1687"/>
      <c r="F6" s="1687"/>
      <c r="G6" s="1687"/>
      <c r="H6" s="1687"/>
      <c r="I6" s="1687"/>
      <c r="J6" s="1687"/>
    </row>
    <row r="7" spans="2:5" s="135" customFormat="1" ht="12.75" customHeight="1">
      <c r="B7" s="136"/>
      <c r="D7" s="137"/>
      <c r="E7" s="137"/>
    </row>
    <row r="8" spans="2:10" s="135" customFormat="1" ht="30" customHeight="1" thickBot="1">
      <c r="B8" s="136"/>
      <c r="D8" s="137"/>
      <c r="E8" s="1686" t="s">
        <v>155</v>
      </c>
      <c r="F8" s="1686"/>
      <c r="G8" s="1686"/>
      <c r="H8" s="1686"/>
      <c r="I8" s="1686"/>
      <c r="J8" s="1686"/>
    </row>
    <row r="9" spans="1:10" s="135" customFormat="1" ht="63.75" customHeight="1">
      <c r="A9" s="1681" t="s">
        <v>156</v>
      </c>
      <c r="B9" s="1682"/>
      <c r="C9" s="508" t="s">
        <v>157</v>
      </c>
      <c r="D9" s="509" t="s">
        <v>158</v>
      </c>
      <c r="E9" s="509" t="s">
        <v>159</v>
      </c>
      <c r="F9" s="510" t="s">
        <v>793</v>
      </c>
      <c r="G9" s="510" t="s">
        <v>803</v>
      </c>
      <c r="H9" s="510" t="s">
        <v>885</v>
      </c>
      <c r="I9" s="510" t="s">
        <v>891</v>
      </c>
      <c r="J9" s="510" t="s">
        <v>947</v>
      </c>
    </row>
    <row r="10" spans="1:10" s="135" customFormat="1" ht="12.75" customHeight="1" thickBot="1">
      <c r="A10" s="1683"/>
      <c r="B10" s="1684"/>
      <c r="C10" s="511" t="s">
        <v>161</v>
      </c>
      <c r="D10" s="511" t="s">
        <v>162</v>
      </c>
      <c r="E10" s="511" t="s">
        <v>163</v>
      </c>
      <c r="F10" s="512" t="s">
        <v>164</v>
      </c>
      <c r="G10" s="512" t="s">
        <v>505</v>
      </c>
      <c r="H10" s="512" t="s">
        <v>525</v>
      </c>
      <c r="I10" s="512" t="s">
        <v>804</v>
      </c>
      <c r="J10" s="512" t="s">
        <v>890</v>
      </c>
    </row>
    <row r="11" spans="1:10" s="135" customFormat="1" ht="27" customHeight="1">
      <c r="A11" s="488" t="s">
        <v>38</v>
      </c>
      <c r="B11" s="1070"/>
      <c r="C11" s="501" t="s">
        <v>639</v>
      </c>
      <c r="D11" s="487">
        <f>SUM('19 önkormányzat'!E9)</f>
        <v>58009000</v>
      </c>
      <c r="E11" s="487">
        <f>SUM('19 önkormányzat'!F9)</f>
        <v>60171959</v>
      </c>
      <c r="F11" s="487">
        <f>SUM('19 önkormányzat'!G9)</f>
        <v>60171959</v>
      </c>
      <c r="G11" s="487">
        <f>SUM('19 önkormányzat'!H9)</f>
        <v>60171959</v>
      </c>
      <c r="H11" s="487">
        <f>SUM('19 önkormányzat'!I9)</f>
        <v>60171959</v>
      </c>
      <c r="I11" s="487">
        <f>SUM('19 önkormányzat'!J9)</f>
        <v>60171959</v>
      </c>
      <c r="J11" s="487">
        <f>SUM('19 önkormányzat'!K9)</f>
        <v>61362783</v>
      </c>
    </row>
    <row r="12" spans="1:10" s="135" customFormat="1" ht="28.5" customHeight="1">
      <c r="A12" s="488" t="s">
        <v>40</v>
      </c>
      <c r="B12" s="1071"/>
      <c r="C12" s="491" t="s">
        <v>640</v>
      </c>
      <c r="D12" s="487">
        <f>SUM('19 önkormányzat'!E10)</f>
        <v>67773000</v>
      </c>
      <c r="E12" s="487">
        <f>SUM('19 önkormányzat'!F10)</f>
        <v>68089907</v>
      </c>
      <c r="F12" s="487">
        <f>SUM('19 önkormányzat'!G10)</f>
        <v>68089907</v>
      </c>
      <c r="G12" s="487">
        <f>SUM('19 önkormányzat'!H10)</f>
        <v>68089907</v>
      </c>
      <c r="H12" s="487">
        <f>SUM('19 önkormányzat'!I10)</f>
        <v>68089907</v>
      </c>
      <c r="I12" s="487">
        <f>SUM('19 önkormányzat'!J10)</f>
        <v>68089907</v>
      </c>
      <c r="J12" s="487">
        <f>SUM('19 önkormányzat'!K10)</f>
        <v>71201042</v>
      </c>
    </row>
    <row r="13" spans="1:10" s="135" customFormat="1" ht="25.5" customHeight="1">
      <c r="A13" s="488" t="s">
        <v>47</v>
      </c>
      <c r="B13" s="1071"/>
      <c r="C13" s="491" t="s">
        <v>661</v>
      </c>
      <c r="D13" s="487">
        <f>SUM('19 önkormányzat'!E11)</f>
        <v>52490000</v>
      </c>
      <c r="E13" s="487">
        <f>SUM('19 önkormányzat'!F11)</f>
        <v>50423193</v>
      </c>
      <c r="F13" s="487">
        <f>SUM('19 önkormányzat'!G11)</f>
        <v>50423193</v>
      </c>
      <c r="G13" s="487">
        <f>SUM('19 önkormányzat'!H11)</f>
        <v>50423193</v>
      </c>
      <c r="H13" s="487">
        <f>SUM('19 önkormányzat'!I11)</f>
        <v>50423193</v>
      </c>
      <c r="I13" s="487">
        <f>SUM('19 önkormányzat'!J11)</f>
        <v>50423193</v>
      </c>
      <c r="J13" s="487">
        <f>SUM('19 önkormányzat'!K11)</f>
        <v>58979458</v>
      </c>
    </row>
    <row r="14" spans="1:10" s="135" customFormat="1" ht="26.25" customHeight="1">
      <c r="A14" s="488" t="s">
        <v>49</v>
      </c>
      <c r="B14" s="1071"/>
      <c r="C14" s="491" t="s">
        <v>641</v>
      </c>
      <c r="D14" s="487">
        <f>SUM('19 önkormányzat'!E12)</f>
        <v>4028000</v>
      </c>
      <c r="E14" s="487">
        <f>SUM('19 önkormányzat'!F12)</f>
        <v>3982020</v>
      </c>
      <c r="F14" s="487">
        <f>SUM('19 önkormányzat'!G12)</f>
        <v>3982020</v>
      </c>
      <c r="G14" s="487">
        <f>SUM('19 önkormányzat'!H12)</f>
        <v>3982020</v>
      </c>
      <c r="H14" s="487">
        <f>SUM('19 önkormányzat'!I12)</f>
        <v>3982020</v>
      </c>
      <c r="I14" s="487">
        <f>SUM('19 önkormányzat'!J12)</f>
        <v>3982020</v>
      </c>
      <c r="J14" s="487">
        <f>SUM('19 önkormányzat'!K12)</f>
        <v>4769156</v>
      </c>
    </row>
    <row r="15" spans="1:10" s="135" customFormat="1" ht="30" customHeight="1">
      <c r="A15" s="488" t="s">
        <v>51</v>
      </c>
      <c r="B15" s="1071"/>
      <c r="C15" s="491" t="s">
        <v>642</v>
      </c>
      <c r="D15" s="487">
        <f>SUM('19 önkormányzat'!E13)</f>
        <v>2561000</v>
      </c>
      <c r="E15" s="487">
        <f>SUM('19 önkormányzat'!F13)</f>
        <v>0</v>
      </c>
      <c r="F15" s="487">
        <f>SUM('19 önkormányzat'!G13)</f>
        <v>231100</v>
      </c>
      <c r="G15" s="487">
        <f>SUM('19 önkormányzat'!H13)</f>
        <v>2794699</v>
      </c>
      <c r="H15" s="487">
        <f>SUM('19 önkormányzat'!I13)</f>
        <v>2794699</v>
      </c>
      <c r="I15" s="487">
        <f>SUM('19 önkormányzat'!J13)</f>
        <v>3796753</v>
      </c>
      <c r="J15" s="487">
        <f>SUM('19 önkormányzat'!K13)</f>
        <v>6598590</v>
      </c>
    </row>
    <row r="16" spans="1:10" s="135" customFormat="1" ht="12.75" customHeight="1">
      <c r="A16" s="488" t="s">
        <v>53</v>
      </c>
      <c r="B16" s="1071"/>
      <c r="C16" s="491" t="s">
        <v>643</v>
      </c>
      <c r="D16" s="487">
        <f>SUM('19 önkormányzat'!E14)</f>
        <v>284000</v>
      </c>
      <c r="E16" s="487">
        <f>SUM('19 önkormányzat'!F14)</f>
        <v>0</v>
      </c>
      <c r="F16" s="487">
        <f>SUM('19 önkormányzat'!G14)</f>
        <v>3704266</v>
      </c>
      <c r="G16" s="487">
        <f>SUM('19 önkormányzat'!H14)</f>
        <v>3704266</v>
      </c>
      <c r="H16" s="487">
        <f>SUM('19 önkormányzat'!I14)</f>
        <v>3704266</v>
      </c>
      <c r="I16" s="487">
        <f>SUM('19 önkormányzat'!J14)</f>
        <v>5065640</v>
      </c>
      <c r="J16" s="487">
        <f>SUM('19 önkormányzat'!K14)</f>
        <v>5065640</v>
      </c>
    </row>
    <row r="17" spans="1:10" s="143" customFormat="1" ht="12.75" customHeight="1">
      <c r="A17" s="723" t="s">
        <v>55</v>
      </c>
      <c r="B17" s="1072"/>
      <c r="C17" s="142" t="s">
        <v>165</v>
      </c>
      <c r="D17" s="13">
        <f aca="true" t="shared" si="0" ref="D17:I17">SUM(D11:D16)</f>
        <v>185145000</v>
      </c>
      <c r="E17" s="13">
        <f t="shared" si="0"/>
        <v>182667079</v>
      </c>
      <c r="F17" s="13">
        <f t="shared" si="0"/>
        <v>186602445</v>
      </c>
      <c r="G17" s="13">
        <f t="shared" si="0"/>
        <v>189166044</v>
      </c>
      <c r="H17" s="13">
        <f t="shared" si="0"/>
        <v>189166044</v>
      </c>
      <c r="I17" s="13">
        <f t="shared" si="0"/>
        <v>191529472</v>
      </c>
      <c r="J17" s="13">
        <f>SUM(J11:J16)</f>
        <v>207976669</v>
      </c>
    </row>
    <row r="18" spans="1:10" s="498" customFormat="1" ht="27" customHeight="1">
      <c r="A18" s="587" t="s">
        <v>57</v>
      </c>
      <c r="B18" s="1073"/>
      <c r="C18" s="496" t="s">
        <v>166</v>
      </c>
      <c r="D18" s="497">
        <f aca="true" t="shared" si="1" ref="D18:I18">SUM(D19:D22)</f>
        <v>44500000</v>
      </c>
      <c r="E18" s="497">
        <f t="shared" si="1"/>
        <v>15145000</v>
      </c>
      <c r="F18" s="497">
        <f t="shared" si="1"/>
        <v>9941807</v>
      </c>
      <c r="G18" s="497">
        <f t="shared" si="1"/>
        <v>9941807</v>
      </c>
      <c r="H18" s="497">
        <f t="shared" si="1"/>
        <v>9941807</v>
      </c>
      <c r="I18" s="497">
        <f t="shared" si="1"/>
        <v>46046608</v>
      </c>
      <c r="J18" s="497">
        <f>SUM(J19:J23)</f>
        <v>123557514</v>
      </c>
    </row>
    <row r="19" spans="1:10" s="495" customFormat="1" ht="30.75" customHeight="1">
      <c r="A19" s="556" t="s">
        <v>86</v>
      </c>
      <c r="B19" s="1074"/>
      <c r="C19" s="1493" t="s">
        <v>926</v>
      </c>
      <c r="D19" s="1038">
        <v>0</v>
      </c>
      <c r="E19" s="1038">
        <v>0</v>
      </c>
      <c r="F19" s="1038">
        <v>0</v>
      </c>
      <c r="G19" s="1038">
        <v>0</v>
      </c>
      <c r="H19" s="1038">
        <v>0</v>
      </c>
      <c r="I19" s="1494">
        <v>35197342</v>
      </c>
      <c r="J19" s="1494">
        <v>112728050</v>
      </c>
    </row>
    <row r="20" spans="1:10" s="495" customFormat="1" ht="12.75" customHeight="1">
      <c r="A20" s="556" t="s">
        <v>59</v>
      </c>
      <c r="B20" s="1074"/>
      <c r="C20" s="492" t="s">
        <v>664</v>
      </c>
      <c r="D20" s="493"/>
      <c r="E20" s="493"/>
      <c r="F20" s="494"/>
      <c r="G20" s="494"/>
      <c r="H20" s="494"/>
      <c r="I20" s="494"/>
      <c r="J20" s="494"/>
    </row>
    <row r="21" spans="1:10" s="495" customFormat="1" ht="12.75" customHeight="1">
      <c r="A21" s="1495" t="s">
        <v>61</v>
      </c>
      <c r="B21" s="1075"/>
      <c r="C21" s="504" t="s">
        <v>929</v>
      </c>
      <c r="D21" s="505"/>
      <c r="E21" s="505"/>
      <c r="F21" s="1509"/>
      <c r="G21" s="1509"/>
      <c r="H21" s="1509"/>
      <c r="I21" s="1510">
        <v>907459</v>
      </c>
      <c r="J21" s="1510">
        <v>907459</v>
      </c>
    </row>
    <row r="22" spans="1:10" s="495" customFormat="1" ht="12.75" customHeight="1">
      <c r="A22" s="556" t="s">
        <v>63</v>
      </c>
      <c r="B22" s="556"/>
      <c r="C22" s="542" t="s">
        <v>663</v>
      </c>
      <c r="D22" s="542">
        <f>SUM('19 önkormányzat'!E19)+'19 önkormányzat'!E18</f>
        <v>44500000</v>
      </c>
      <c r="E22" s="542">
        <f>SUM('19 önkormányzat'!F19)</f>
        <v>15145000</v>
      </c>
      <c r="F22" s="542">
        <f>SUM('19 önkormányzat'!G19)</f>
        <v>9941807</v>
      </c>
      <c r="G22" s="542">
        <f>SUM('19 önkormányzat'!H19)</f>
        <v>9941807</v>
      </c>
      <c r="H22" s="542">
        <f>SUM('19 önkormányzat'!I19)</f>
        <v>9941807</v>
      </c>
      <c r="I22" s="542">
        <f>SUM('19 önkormányzat'!J19)</f>
        <v>9941807</v>
      </c>
      <c r="J22" s="542">
        <f>SUM('19 önkormányzat'!K19)</f>
        <v>9857005</v>
      </c>
    </row>
    <row r="23" spans="1:10" s="495" customFormat="1" ht="12.75" customHeight="1" thickBot="1">
      <c r="A23" s="1606">
        <v>13</v>
      </c>
      <c r="B23" s="1607"/>
      <c r="C23" s="1608" t="s">
        <v>972</v>
      </c>
      <c r="D23" s="1609"/>
      <c r="E23" s="1609"/>
      <c r="F23" s="1609"/>
      <c r="G23" s="1609"/>
      <c r="H23" s="1609"/>
      <c r="I23" s="1610"/>
      <c r="J23" s="1610">
        <v>65000</v>
      </c>
    </row>
    <row r="24" spans="1:10" s="135" customFormat="1" ht="25.5" customHeight="1" thickBot="1">
      <c r="A24" s="1496">
        <v>14</v>
      </c>
      <c r="B24" s="1076" t="s">
        <v>167</v>
      </c>
      <c r="C24" s="506" t="s">
        <v>168</v>
      </c>
      <c r="D24" s="507">
        <f aca="true" t="shared" si="2" ref="D24:I24">SUM(D17+D18)</f>
        <v>229645000</v>
      </c>
      <c r="E24" s="507">
        <f t="shared" si="2"/>
        <v>197812079</v>
      </c>
      <c r="F24" s="507">
        <f t="shared" si="2"/>
        <v>196544252</v>
      </c>
      <c r="G24" s="507">
        <f t="shared" si="2"/>
        <v>199107851</v>
      </c>
      <c r="H24" s="507">
        <f t="shared" si="2"/>
        <v>199107851</v>
      </c>
      <c r="I24" s="1497">
        <f t="shared" si="2"/>
        <v>237576080</v>
      </c>
      <c r="J24" s="1497">
        <f>SUM(J17+J18)</f>
        <v>331534183</v>
      </c>
    </row>
    <row r="25" spans="1:10" s="6" customFormat="1" ht="25.5" customHeight="1">
      <c r="A25" s="1498">
        <v>15</v>
      </c>
      <c r="B25" s="1498"/>
      <c r="C25" s="1499" t="s">
        <v>928</v>
      </c>
      <c r="D25" s="1500">
        <v>0</v>
      </c>
      <c r="E25" s="1500">
        <v>0</v>
      </c>
      <c r="F25" s="1500">
        <v>0</v>
      </c>
      <c r="G25" s="1500">
        <v>0</v>
      </c>
      <c r="H25" s="1500">
        <v>0</v>
      </c>
      <c r="I25" s="1500">
        <v>333740979</v>
      </c>
      <c r="J25" s="1500">
        <v>579188024</v>
      </c>
    </row>
    <row r="26" spans="1:10" s="625" customFormat="1" ht="25.5" customHeight="1" thickBot="1">
      <c r="A26" s="1501">
        <v>16</v>
      </c>
      <c r="B26" s="1501"/>
      <c r="C26" s="1502" t="s">
        <v>927</v>
      </c>
      <c r="D26" s="1503"/>
      <c r="E26" s="1503"/>
      <c r="F26" s="1503"/>
      <c r="G26" s="1503"/>
      <c r="H26" s="1503"/>
      <c r="I26" s="1503">
        <v>333740979</v>
      </c>
      <c r="J26" s="1503">
        <v>579188024</v>
      </c>
    </row>
    <row r="27" spans="1:10" s="143" customFormat="1" ht="29.25" customHeight="1" thickBot="1">
      <c r="A27" s="1504">
        <v>17</v>
      </c>
      <c r="B27" s="1077" t="s">
        <v>169</v>
      </c>
      <c r="C27" s="513" t="s">
        <v>170</v>
      </c>
      <c r="D27" s="1505">
        <f>SUM('2. melléklet'!D36)</f>
        <v>80000000</v>
      </c>
      <c r="E27" s="1505">
        <f>SUM('2. melléklet'!E36)</f>
        <v>0</v>
      </c>
      <c r="F27" s="1505">
        <f>SUM('2. melléklet'!F36)</f>
        <v>0</v>
      </c>
      <c r="G27" s="1505">
        <f>SUM('2. melléklet'!G36)</f>
        <v>0</v>
      </c>
      <c r="H27" s="1505">
        <f>SUM('2. melléklet'!H36)</f>
        <v>0</v>
      </c>
      <c r="I27" s="1506">
        <f>SUM('2. melléklet'!I36)</f>
        <v>333740979</v>
      </c>
      <c r="J27" s="1506">
        <f>SUM('2. melléklet'!J36)</f>
        <v>579188024</v>
      </c>
    </row>
    <row r="28" spans="1:10" s="135" customFormat="1" ht="12.75" customHeight="1">
      <c r="A28" s="1166">
        <v>18</v>
      </c>
      <c r="B28" s="1070"/>
      <c r="C28" s="486" t="s">
        <v>656</v>
      </c>
      <c r="D28" s="158">
        <f>SUM('1. melléklet'!D14)</f>
        <v>6755000</v>
      </c>
      <c r="E28" s="158">
        <f>SUM('1. melléklet'!E14)</f>
        <v>6755000</v>
      </c>
      <c r="F28" s="158">
        <f>SUM('1. melléklet'!F14)</f>
        <v>6755000</v>
      </c>
      <c r="G28" s="158">
        <f>SUM('1. melléklet'!G14)</f>
        <v>6755000</v>
      </c>
      <c r="H28" s="158">
        <v>6755000</v>
      </c>
      <c r="I28" s="158">
        <f>SUM('1. melléklet'!I14)</f>
        <v>6755000</v>
      </c>
      <c r="J28" s="158">
        <v>6985609</v>
      </c>
    </row>
    <row r="29" spans="1:10" s="135" customFormat="1" ht="12.75" customHeight="1">
      <c r="A29" s="488">
        <v>19</v>
      </c>
      <c r="B29" s="1071"/>
      <c r="C29" s="139" t="s">
        <v>657</v>
      </c>
      <c r="D29" s="158">
        <f>SUM('1. melléklet'!D15)</f>
        <v>133432000</v>
      </c>
      <c r="E29" s="158">
        <f>SUM('1. melléklet'!E15)</f>
        <v>134000000</v>
      </c>
      <c r="F29" s="158">
        <f>SUM('1. melléklet'!F15)</f>
        <v>134000000</v>
      </c>
      <c r="G29" s="158">
        <f>SUM('1. melléklet'!G15)</f>
        <v>134000000</v>
      </c>
      <c r="H29" s="158">
        <v>134000000</v>
      </c>
      <c r="I29" s="158">
        <f>SUM('1. melléklet'!I15)</f>
        <v>134000000</v>
      </c>
      <c r="J29" s="158">
        <v>153700078</v>
      </c>
    </row>
    <row r="30" spans="1:10" s="135" customFormat="1" ht="12.75" customHeight="1">
      <c r="A30" s="488">
        <v>20</v>
      </c>
      <c r="B30" s="1071"/>
      <c r="C30" s="139" t="s">
        <v>658</v>
      </c>
      <c r="D30" s="158">
        <f>SUM('1. melléklet'!D16)</f>
        <v>8378000</v>
      </c>
      <c r="E30" s="158">
        <f>SUM('1. melléklet'!E16)</f>
        <v>8935000</v>
      </c>
      <c r="F30" s="158">
        <f>SUM('1. melléklet'!F16)</f>
        <v>8935000</v>
      </c>
      <c r="G30" s="158">
        <f>SUM('1. melléklet'!G16)</f>
        <v>8935000</v>
      </c>
      <c r="H30" s="158">
        <v>8935000</v>
      </c>
      <c r="I30" s="158">
        <v>9235000</v>
      </c>
      <c r="J30" s="158">
        <v>10051757</v>
      </c>
    </row>
    <row r="31" spans="1:10" s="135" customFormat="1" ht="12.75" customHeight="1">
      <c r="A31" s="488">
        <v>21</v>
      </c>
      <c r="B31" s="1071"/>
      <c r="C31" s="491" t="s">
        <v>659</v>
      </c>
      <c r="D31" s="158">
        <f>SUM('1. melléklet'!D17)</f>
        <v>315000</v>
      </c>
      <c r="E31" s="158">
        <f>SUM('1. melléklet'!E17)</f>
        <v>315000</v>
      </c>
      <c r="F31" s="158">
        <f>SUM('1. melléklet'!F17)</f>
        <v>0</v>
      </c>
      <c r="G31" s="158">
        <f>SUM('1. melléklet'!G17)</f>
        <v>0</v>
      </c>
      <c r="H31" s="158">
        <f>SUM('1. melléklet'!H17)</f>
        <v>0</v>
      </c>
      <c r="I31" s="158">
        <f>SUM('1. melléklet'!I17)</f>
        <v>0</v>
      </c>
      <c r="J31" s="158">
        <f>SUM('1. melléklet'!J17)</f>
        <v>0</v>
      </c>
    </row>
    <row r="32" spans="1:10" s="135" customFormat="1" ht="12.75" customHeight="1" thickBot="1">
      <c r="A32" s="488">
        <v>22</v>
      </c>
      <c r="B32" s="1078"/>
      <c r="C32" s="499" t="s">
        <v>660</v>
      </c>
      <c r="D32" s="158">
        <f>SUM('1. melléklet'!D18)</f>
        <v>1000000</v>
      </c>
      <c r="E32" s="158">
        <f>SUM('1. melléklet'!E18)</f>
        <v>150000</v>
      </c>
      <c r="F32" s="158">
        <f>SUM('1. melléklet'!F18)</f>
        <v>465000</v>
      </c>
      <c r="G32" s="158">
        <f>SUM('1. melléklet'!G18)</f>
        <v>465000</v>
      </c>
      <c r="H32" s="158">
        <v>465000</v>
      </c>
      <c r="I32" s="158">
        <f>SUM('1. melléklet'!I18)</f>
        <v>465000</v>
      </c>
      <c r="J32" s="158">
        <v>608170</v>
      </c>
    </row>
    <row r="33" spans="1:10" s="135" customFormat="1" ht="24.75" customHeight="1" thickBot="1">
      <c r="A33" s="1093">
        <v>23</v>
      </c>
      <c r="B33" s="1079" t="s">
        <v>176</v>
      </c>
      <c r="C33" s="502" t="s">
        <v>177</v>
      </c>
      <c r="D33" s="503">
        <f aca="true" t="shared" si="3" ref="D33:I33">SUM(D28:D32)</f>
        <v>149880000</v>
      </c>
      <c r="E33" s="503">
        <f t="shared" si="3"/>
        <v>150155000</v>
      </c>
      <c r="F33" s="503">
        <f t="shared" si="3"/>
        <v>150155000</v>
      </c>
      <c r="G33" s="503">
        <f t="shared" si="3"/>
        <v>150155000</v>
      </c>
      <c r="H33" s="503">
        <f t="shared" si="3"/>
        <v>150155000</v>
      </c>
      <c r="I33" s="503">
        <f t="shared" si="3"/>
        <v>150455000</v>
      </c>
      <c r="J33" s="503">
        <f>SUM(J28:J32)</f>
        <v>171345614</v>
      </c>
    </row>
    <row r="34" spans="1:10" s="135" customFormat="1" ht="12.75" customHeight="1">
      <c r="A34" s="488">
        <v>24</v>
      </c>
      <c r="B34" s="1080"/>
      <c r="C34" s="489" t="s">
        <v>644</v>
      </c>
      <c r="D34" s="490">
        <f>SUM('1. melléklet'!D20)</f>
        <v>5171000</v>
      </c>
      <c r="E34" s="490">
        <f>SUM('1. melléklet'!E20)</f>
        <v>5180192</v>
      </c>
      <c r="F34" s="490">
        <f>SUM('1. melléklet'!F20)</f>
        <v>5180192</v>
      </c>
      <c r="G34" s="490">
        <f>SUM('1. melléklet'!G20)</f>
        <v>5030092</v>
      </c>
      <c r="H34" s="490">
        <v>5030092</v>
      </c>
      <c r="I34" s="490">
        <f>SUM('1. melléklet'!I20)</f>
        <v>5016892</v>
      </c>
      <c r="J34" s="490">
        <v>5995252</v>
      </c>
    </row>
    <row r="35" spans="1:10" s="135" customFormat="1" ht="12.75" customHeight="1">
      <c r="A35" s="488">
        <v>25</v>
      </c>
      <c r="B35" s="1080"/>
      <c r="C35" s="489" t="s">
        <v>179</v>
      </c>
      <c r="D35" s="490">
        <f>SUM('1. melléklet'!D21)</f>
        <v>5655000</v>
      </c>
      <c r="E35" s="490">
        <f>SUM('1. melléklet'!E21)</f>
        <v>432000</v>
      </c>
      <c r="F35" s="490">
        <f>SUM('1. melléklet'!F21)</f>
        <v>3180000</v>
      </c>
      <c r="G35" s="490">
        <f>SUM('1. melléklet'!G21)</f>
        <v>3330000</v>
      </c>
      <c r="H35" s="490">
        <v>3330000</v>
      </c>
      <c r="I35" s="490">
        <f>SUM('1. melléklet'!I21)</f>
        <v>3330000</v>
      </c>
      <c r="J35" s="490">
        <v>4006449</v>
      </c>
    </row>
    <row r="36" spans="1:10" s="135" customFormat="1" ht="12.75" customHeight="1">
      <c r="A36" s="488">
        <v>26</v>
      </c>
      <c r="B36" s="1080"/>
      <c r="C36" s="489" t="s">
        <v>180</v>
      </c>
      <c r="D36" s="490">
        <f>SUM('1. melléklet'!D22)</f>
        <v>900000</v>
      </c>
      <c r="E36" s="490">
        <f>SUM('1. melléklet'!E22)</f>
        <v>1089993</v>
      </c>
      <c r="F36" s="490">
        <f>SUM('1. melléklet'!F22)</f>
        <v>1089993</v>
      </c>
      <c r="G36" s="490">
        <f>SUM('1. melléklet'!G22)</f>
        <v>1089993</v>
      </c>
      <c r="H36" s="490">
        <v>1089993</v>
      </c>
      <c r="I36" s="490">
        <v>1190000</v>
      </c>
      <c r="J36" s="490">
        <v>930260</v>
      </c>
    </row>
    <row r="37" spans="1:10" s="135" customFormat="1" ht="12.75" customHeight="1">
      <c r="A37" s="488">
        <v>27</v>
      </c>
      <c r="B37" s="1080"/>
      <c r="C37" s="489" t="s">
        <v>766</v>
      </c>
      <c r="D37" s="490">
        <f>SUM('1. melléklet'!D23)</f>
        <v>16440000</v>
      </c>
      <c r="E37" s="490">
        <f>SUM('1. melléklet'!E23)</f>
        <v>17940000</v>
      </c>
      <c r="F37" s="490">
        <f>SUM('1. melléklet'!F23)</f>
        <v>17940000</v>
      </c>
      <c r="G37" s="490">
        <f>SUM('1. melléklet'!G23)</f>
        <v>17940000</v>
      </c>
      <c r="H37" s="490">
        <v>17940000</v>
      </c>
      <c r="I37" s="490">
        <f>SUM('1. melléklet'!I23)</f>
        <v>17940000</v>
      </c>
      <c r="J37" s="490">
        <v>16780995</v>
      </c>
    </row>
    <row r="38" spans="1:10" s="135" customFormat="1" ht="12.75" customHeight="1">
      <c r="A38" s="488">
        <v>28</v>
      </c>
      <c r="B38" s="1080"/>
      <c r="C38" s="489" t="s">
        <v>182</v>
      </c>
      <c r="D38" s="490">
        <f>SUM('1. melléklet'!D24)</f>
        <v>9130000</v>
      </c>
      <c r="E38" s="490">
        <f>SUM('1. melléklet'!E24)</f>
        <v>9900954</v>
      </c>
      <c r="F38" s="490">
        <f>SUM('1. melléklet'!F24)</f>
        <v>9900954</v>
      </c>
      <c r="G38" s="490">
        <f>SUM('1. melléklet'!G24)</f>
        <v>9900948</v>
      </c>
      <c r="H38" s="490">
        <v>9900948</v>
      </c>
      <c r="I38" s="490">
        <v>9735970</v>
      </c>
      <c r="J38" s="490">
        <v>8898038</v>
      </c>
    </row>
    <row r="39" spans="1:10" s="135" customFormat="1" ht="12.75" customHeight="1">
      <c r="A39" s="488">
        <v>29</v>
      </c>
      <c r="B39" s="488"/>
      <c r="C39" s="489" t="s">
        <v>797</v>
      </c>
      <c r="D39" s="490">
        <v>0</v>
      </c>
      <c r="E39" s="490">
        <v>0</v>
      </c>
      <c r="F39" s="490">
        <v>5708000</v>
      </c>
      <c r="G39" s="490">
        <v>5708000</v>
      </c>
      <c r="H39" s="490">
        <v>5708000</v>
      </c>
      <c r="I39" s="490">
        <v>5708000</v>
      </c>
      <c r="J39" s="490">
        <v>5708000</v>
      </c>
    </row>
    <row r="40" spans="1:10" s="135" customFormat="1" ht="12.75" customHeight="1">
      <c r="A40" s="1166">
        <v>30</v>
      </c>
      <c r="B40" s="1070"/>
      <c r="C40" s="486" t="s">
        <v>655</v>
      </c>
      <c r="D40" s="1167">
        <f>SUM('1. melléklet'!D26)</f>
        <v>40000</v>
      </c>
      <c r="E40" s="1167">
        <f>SUM('1. melléklet'!E26)</f>
        <v>30770</v>
      </c>
      <c r="F40" s="1167">
        <f>SUM('1. melléklet'!F26)</f>
        <v>20770</v>
      </c>
      <c r="G40" s="1167">
        <f>SUM('1. melléklet'!G26)</f>
        <v>20776</v>
      </c>
      <c r="H40" s="1167">
        <v>20776</v>
      </c>
      <c r="I40" s="1167">
        <v>20876</v>
      </c>
      <c r="J40" s="1167">
        <v>2902</v>
      </c>
    </row>
    <row r="41" spans="1:10" s="135" customFormat="1" ht="12.75" customHeight="1">
      <c r="A41" s="1166">
        <v>31</v>
      </c>
      <c r="B41" s="1507"/>
      <c r="C41" s="1508" t="s">
        <v>924</v>
      </c>
      <c r="D41" s="1167"/>
      <c r="E41" s="1167"/>
      <c r="F41" s="1167"/>
      <c r="G41" s="1167"/>
      <c r="H41" s="1167"/>
      <c r="I41" s="1167">
        <v>61230</v>
      </c>
      <c r="J41" s="1167">
        <v>61230</v>
      </c>
    </row>
    <row r="42" spans="1:10" s="135" customFormat="1" ht="12.75" customHeight="1" thickBot="1">
      <c r="A42" s="488">
        <v>32</v>
      </c>
      <c r="B42" s="1078"/>
      <c r="C42" s="499" t="s">
        <v>185</v>
      </c>
      <c r="D42" s="490">
        <f>SUM('1. melléklet'!D28)</f>
        <v>4418000</v>
      </c>
      <c r="E42" s="490">
        <f>SUM('1. melléklet'!E28)</f>
        <v>5700000</v>
      </c>
      <c r="F42" s="490">
        <f>SUM('1. melléklet'!F28)</f>
        <v>2000</v>
      </c>
      <c r="G42" s="490">
        <f>SUM('1. melléklet'!G28)</f>
        <v>2100</v>
      </c>
      <c r="H42" s="490">
        <v>2100</v>
      </c>
      <c r="I42" s="490">
        <v>4100</v>
      </c>
      <c r="J42" s="490">
        <v>1124226</v>
      </c>
    </row>
    <row r="43" spans="1:10" s="143" customFormat="1" ht="19.5" customHeight="1">
      <c r="A43" s="1094">
        <v>33</v>
      </c>
      <c r="B43" s="1081" t="s">
        <v>186</v>
      </c>
      <c r="C43" s="514" t="s">
        <v>221</v>
      </c>
      <c r="D43" s="515">
        <f aca="true" t="shared" si="4" ref="D43:I43">SUM(D34:D42)</f>
        <v>41754000</v>
      </c>
      <c r="E43" s="515">
        <f t="shared" si="4"/>
        <v>40273909</v>
      </c>
      <c r="F43" s="515">
        <f t="shared" si="4"/>
        <v>43021909</v>
      </c>
      <c r="G43" s="515">
        <f t="shared" si="4"/>
        <v>43021909</v>
      </c>
      <c r="H43" s="515">
        <f t="shared" si="4"/>
        <v>43021909</v>
      </c>
      <c r="I43" s="515">
        <f t="shared" si="4"/>
        <v>43007068</v>
      </c>
      <c r="J43" s="515">
        <f>SUM(J34:J42)</f>
        <v>43507352</v>
      </c>
    </row>
    <row r="44" spans="1:10" ht="12.75" customHeight="1">
      <c r="A44" s="516">
        <v>34</v>
      </c>
      <c r="B44" s="1082"/>
      <c r="C44" s="516" t="s">
        <v>645</v>
      </c>
      <c r="D44" s="516">
        <f>SUM('1. melléklet'!D30)</f>
        <v>41468000</v>
      </c>
      <c r="E44" s="516">
        <f>SUM('1. melléklet'!E30)</f>
        <v>40639830</v>
      </c>
      <c r="F44" s="516">
        <f>SUM('1. melléklet'!F30)</f>
        <v>40639830</v>
      </c>
      <c r="G44" s="516">
        <f>SUM('1. melléklet'!G30)</f>
        <v>40639830</v>
      </c>
      <c r="H44" s="516">
        <v>40639830</v>
      </c>
      <c r="I44" s="516">
        <v>35979735</v>
      </c>
      <c r="J44" s="516">
        <v>9130870</v>
      </c>
    </row>
    <row r="45" spans="1:10" ht="12.75" customHeight="1" thickBot="1">
      <c r="A45" s="516">
        <v>35</v>
      </c>
      <c r="B45" s="1083"/>
      <c r="C45" s="521" t="s">
        <v>665</v>
      </c>
      <c r="D45" s="521">
        <v>0</v>
      </c>
      <c r="E45" s="521">
        <v>0</v>
      </c>
      <c r="F45" s="522"/>
      <c r="G45" s="522"/>
      <c r="H45" s="522"/>
      <c r="I45" s="522">
        <v>5500</v>
      </c>
      <c r="J45" s="522">
        <v>5500</v>
      </c>
    </row>
    <row r="46" spans="1:10" s="78" customFormat="1" ht="21.75" customHeight="1" thickBot="1">
      <c r="A46" s="1069">
        <v>36</v>
      </c>
      <c r="B46" s="1084" t="s">
        <v>187</v>
      </c>
      <c r="C46" s="524" t="s">
        <v>13</v>
      </c>
      <c r="D46" s="524">
        <f aca="true" t="shared" si="5" ref="D46:I46">SUM(D44:D45)</f>
        <v>41468000</v>
      </c>
      <c r="E46" s="524">
        <f t="shared" si="5"/>
        <v>40639830</v>
      </c>
      <c r="F46" s="524">
        <f t="shared" si="5"/>
        <v>40639830</v>
      </c>
      <c r="G46" s="524">
        <f t="shared" si="5"/>
        <v>40639830</v>
      </c>
      <c r="H46" s="524">
        <f t="shared" si="5"/>
        <v>40639830</v>
      </c>
      <c r="I46" s="524">
        <f t="shared" si="5"/>
        <v>35985235</v>
      </c>
      <c r="J46" s="524">
        <f>SUM(J44:J45)</f>
        <v>9136370</v>
      </c>
    </row>
    <row r="47" spans="1:10" ht="12.75" customHeight="1">
      <c r="A47" s="516">
        <v>37</v>
      </c>
      <c r="B47" s="1085"/>
      <c r="C47" s="523" t="s">
        <v>646</v>
      </c>
      <c r="D47" s="523">
        <v>0</v>
      </c>
      <c r="E47" s="523">
        <f>SUM(E48)+E49</f>
        <v>0</v>
      </c>
      <c r="F47" s="523">
        <f>SUM(F48)+F49</f>
        <v>0</v>
      </c>
      <c r="G47" s="523">
        <f>SUM(G48)+G49</f>
        <v>0</v>
      </c>
      <c r="H47" s="523">
        <f>SUM(H48)+H49</f>
        <v>0</v>
      </c>
      <c r="I47" s="523">
        <v>200000</v>
      </c>
      <c r="J47" s="523">
        <v>215603</v>
      </c>
    </row>
    <row r="48" spans="1:10" s="520" customFormat="1" ht="12.75" customHeight="1">
      <c r="A48" s="519">
        <v>38</v>
      </c>
      <c r="B48" s="1086"/>
      <c r="C48" s="519" t="s">
        <v>666</v>
      </c>
      <c r="D48" s="519"/>
      <c r="E48" s="519"/>
      <c r="F48" s="519"/>
      <c r="G48" s="519"/>
      <c r="H48" s="519"/>
      <c r="I48" s="519"/>
      <c r="J48" s="519"/>
    </row>
    <row r="49" spans="1:10" s="520" customFormat="1" ht="12.75" customHeight="1">
      <c r="A49" s="519">
        <v>39</v>
      </c>
      <c r="B49" s="1086"/>
      <c r="C49" s="519" t="s">
        <v>667</v>
      </c>
      <c r="D49" s="519"/>
      <c r="E49" s="519"/>
      <c r="F49" s="519"/>
      <c r="G49" s="519"/>
      <c r="H49" s="519"/>
      <c r="I49" s="519"/>
      <c r="J49" s="519"/>
    </row>
    <row r="50" spans="1:10" ht="12.75" customHeight="1">
      <c r="A50" s="516">
        <v>40</v>
      </c>
      <c r="B50" s="1082"/>
      <c r="C50" s="516" t="s">
        <v>647</v>
      </c>
      <c r="D50" s="516">
        <f>SUM('1. melléklet'!D31)</f>
        <v>1878000</v>
      </c>
      <c r="E50" s="516">
        <f>SUM('1. melléklet'!E31)</f>
        <v>0</v>
      </c>
      <c r="F50" s="516">
        <v>215000</v>
      </c>
      <c r="G50" s="516">
        <v>700800</v>
      </c>
      <c r="H50" s="516">
        <v>700800</v>
      </c>
      <c r="I50" s="516">
        <v>863138</v>
      </c>
      <c r="J50" s="516">
        <v>1291405</v>
      </c>
    </row>
    <row r="51" spans="1:10" s="520" customFormat="1" ht="12.75" customHeight="1" thickBot="1">
      <c r="A51" s="519">
        <v>41</v>
      </c>
      <c r="B51" s="1087"/>
      <c r="C51" s="525" t="s">
        <v>668</v>
      </c>
      <c r="D51" s="525"/>
      <c r="E51" s="525"/>
      <c r="F51" s="525"/>
      <c r="G51" s="525"/>
      <c r="H51" s="525"/>
      <c r="I51" s="525"/>
      <c r="J51" s="525"/>
    </row>
    <row r="52" spans="1:10" s="78" customFormat="1" ht="19.5" customHeight="1" thickBot="1">
      <c r="A52" s="1069">
        <v>42</v>
      </c>
      <c r="B52" s="1084" t="s">
        <v>188</v>
      </c>
      <c r="C52" s="524" t="s">
        <v>189</v>
      </c>
      <c r="D52" s="524">
        <f aca="true" t="shared" si="6" ref="D52:I52">SUM(D47+D50)</f>
        <v>1878000</v>
      </c>
      <c r="E52" s="524">
        <f t="shared" si="6"/>
        <v>0</v>
      </c>
      <c r="F52" s="524">
        <f t="shared" si="6"/>
        <v>215000</v>
      </c>
      <c r="G52" s="524">
        <f t="shared" si="6"/>
        <v>700800</v>
      </c>
      <c r="H52" s="524">
        <f t="shared" si="6"/>
        <v>700800</v>
      </c>
      <c r="I52" s="524">
        <f t="shared" si="6"/>
        <v>1063138</v>
      </c>
      <c r="J52" s="524">
        <f>SUM(J47+J50)</f>
        <v>1507008</v>
      </c>
    </row>
    <row r="53" spans="1:10" ht="12.75" customHeight="1">
      <c r="A53" s="516">
        <v>43</v>
      </c>
      <c r="B53" s="1085"/>
      <c r="C53" s="523" t="s">
        <v>648</v>
      </c>
      <c r="D53" s="523">
        <f>SUM('1. melléklet'!D32)</f>
        <v>1273000</v>
      </c>
      <c r="E53" s="523">
        <f>SUM(E54)</f>
        <v>0</v>
      </c>
      <c r="F53" s="523">
        <v>800000</v>
      </c>
      <c r="G53" s="523">
        <v>800000</v>
      </c>
      <c r="H53" s="523">
        <v>800000</v>
      </c>
      <c r="I53" s="523">
        <v>800000</v>
      </c>
      <c r="J53" s="523">
        <v>800000</v>
      </c>
    </row>
    <row r="54" spans="1:10" ht="14.25" customHeight="1" thickBot="1">
      <c r="A54" s="516">
        <v>44</v>
      </c>
      <c r="B54" s="1083"/>
      <c r="C54" s="521" t="s">
        <v>669</v>
      </c>
      <c r="D54" s="521"/>
      <c r="E54" s="521"/>
      <c r="F54" s="522"/>
      <c r="G54" s="522"/>
      <c r="H54" s="522"/>
      <c r="I54" s="522"/>
      <c r="J54" s="522"/>
    </row>
    <row r="55" spans="1:10" s="78" customFormat="1" ht="20.25" customHeight="1" thickBot="1">
      <c r="A55" s="1069">
        <v>45</v>
      </c>
      <c r="B55" s="1084" t="s">
        <v>188</v>
      </c>
      <c r="C55" s="524" t="s">
        <v>230</v>
      </c>
      <c r="D55" s="524">
        <f aca="true" t="shared" si="7" ref="D55:I55">SUM(D53)</f>
        <v>1273000</v>
      </c>
      <c r="E55" s="524">
        <f t="shared" si="7"/>
        <v>0</v>
      </c>
      <c r="F55" s="524">
        <f t="shared" si="7"/>
        <v>800000</v>
      </c>
      <c r="G55" s="524">
        <f t="shared" si="7"/>
        <v>800000</v>
      </c>
      <c r="H55" s="524">
        <f t="shared" si="7"/>
        <v>800000</v>
      </c>
      <c r="I55" s="524">
        <f t="shared" si="7"/>
        <v>800000</v>
      </c>
      <c r="J55" s="524">
        <f>SUM(J53)</f>
        <v>800000</v>
      </c>
    </row>
    <row r="56" spans="1:10" s="73" customFormat="1" ht="25.5">
      <c r="A56" s="517">
        <v>46</v>
      </c>
      <c r="B56" s="1088"/>
      <c r="C56" s="529" t="s">
        <v>672</v>
      </c>
      <c r="D56" s="528">
        <v>80000000</v>
      </c>
      <c r="E56" s="528"/>
      <c r="F56" s="530"/>
      <c r="G56" s="530"/>
      <c r="H56" s="530"/>
      <c r="I56" s="530"/>
      <c r="J56" s="530"/>
    </row>
    <row r="57" spans="1:10" s="73" customFormat="1" ht="25.5">
      <c r="A57" s="517">
        <v>47</v>
      </c>
      <c r="B57" s="1089"/>
      <c r="C57" s="531" t="s">
        <v>670</v>
      </c>
      <c r="D57" s="517"/>
      <c r="E57" s="517"/>
      <c r="F57" s="518"/>
      <c r="G57" s="518"/>
      <c r="H57" s="518"/>
      <c r="I57" s="518"/>
      <c r="J57" s="518"/>
    </row>
    <row r="58" spans="1:10" s="152" customFormat="1" ht="17.25" customHeight="1">
      <c r="A58" s="526">
        <v>48</v>
      </c>
      <c r="B58" s="1090"/>
      <c r="C58" s="526" t="s">
        <v>671</v>
      </c>
      <c r="D58" s="526">
        <f aca="true" t="shared" si="8" ref="D58:I58">SUM(D56+D57)</f>
        <v>80000000</v>
      </c>
      <c r="E58" s="526">
        <f t="shared" si="8"/>
        <v>0</v>
      </c>
      <c r="F58" s="526">
        <f t="shared" si="8"/>
        <v>0</v>
      </c>
      <c r="G58" s="526">
        <f t="shared" si="8"/>
        <v>0</v>
      </c>
      <c r="H58" s="526">
        <f t="shared" si="8"/>
        <v>0</v>
      </c>
      <c r="I58" s="526">
        <f t="shared" si="8"/>
        <v>0</v>
      </c>
      <c r="J58" s="526">
        <f>SUM(J56+J57)</f>
        <v>0</v>
      </c>
    </row>
    <row r="59" spans="1:10" s="152" customFormat="1" ht="12.75">
      <c r="A59" s="526">
        <v>49</v>
      </c>
      <c r="B59" s="1090"/>
      <c r="C59" s="526" t="s">
        <v>225</v>
      </c>
      <c r="D59" s="526">
        <f>SUM('1. melléklet'!D36)</f>
        <v>60159000</v>
      </c>
      <c r="E59" s="526">
        <f>SUM('1. melléklet'!E36)</f>
        <v>51655670</v>
      </c>
      <c r="F59" s="526">
        <f>SUM('1. melléklet'!F36)</f>
        <v>52133712</v>
      </c>
      <c r="G59" s="526">
        <f>SUM('1. melléklet'!G36)</f>
        <v>52133712</v>
      </c>
      <c r="H59" s="526">
        <v>52133712</v>
      </c>
      <c r="I59" s="526">
        <f>SUM('1. melléklet'!I36)</f>
        <v>52133712</v>
      </c>
      <c r="J59" s="526">
        <f>SUM('1. melléklet'!J36)</f>
        <v>52133712</v>
      </c>
    </row>
    <row r="60" spans="1:10" ht="12.75">
      <c r="A60" s="516">
        <v>50</v>
      </c>
      <c r="B60" s="1083"/>
      <c r="C60" s="521" t="s">
        <v>228</v>
      </c>
      <c r="D60" s="521">
        <f>SUM('1. melléklet'!D39)</f>
        <v>4153000</v>
      </c>
      <c r="E60" s="521">
        <f>SUM('1. melléklet'!E39)</f>
        <v>6401277</v>
      </c>
      <c r="F60" s="521">
        <f>SUM('1. melléklet'!F39)</f>
        <v>7745538</v>
      </c>
      <c r="G60" s="521">
        <f>SUM('1. melléklet'!G39)</f>
        <v>8502671</v>
      </c>
      <c r="H60" s="521">
        <v>8502671</v>
      </c>
      <c r="I60" s="521">
        <v>9473678</v>
      </c>
      <c r="J60" s="521">
        <v>10623632</v>
      </c>
    </row>
    <row r="61" spans="1:10" s="78" customFormat="1" ht="21" customHeight="1">
      <c r="A61" s="1069">
        <v>51</v>
      </c>
      <c r="B61" s="1091" t="s">
        <v>190</v>
      </c>
      <c r="C61" s="1069" t="s">
        <v>673</v>
      </c>
      <c r="D61" s="1069">
        <f aca="true" t="shared" si="9" ref="D61:I61">SUM(D58+D59+D60)</f>
        <v>144312000</v>
      </c>
      <c r="E61" s="1069">
        <f t="shared" si="9"/>
        <v>58056947</v>
      </c>
      <c r="F61" s="1069">
        <f t="shared" si="9"/>
        <v>59879250</v>
      </c>
      <c r="G61" s="1069">
        <f t="shared" si="9"/>
        <v>60636383</v>
      </c>
      <c r="H61" s="1069">
        <f t="shared" si="9"/>
        <v>60636383</v>
      </c>
      <c r="I61" s="1069">
        <f t="shared" si="9"/>
        <v>61607390</v>
      </c>
      <c r="J61" s="1069">
        <f>SUM(J58+J59+J60)</f>
        <v>62757344</v>
      </c>
    </row>
    <row r="62" spans="1:10" s="527" customFormat="1" ht="15.75">
      <c r="A62" s="1068">
        <v>52</v>
      </c>
      <c r="B62" s="1092"/>
      <c r="C62" s="1068" t="s">
        <v>202</v>
      </c>
      <c r="D62" s="1068">
        <f aca="true" t="shared" si="10" ref="D62:I62">SUM(D24+D27+D33+D43+D46+D52+D55+D61)</f>
        <v>690210000</v>
      </c>
      <c r="E62" s="1068">
        <f t="shared" si="10"/>
        <v>486937765</v>
      </c>
      <c r="F62" s="1068">
        <f t="shared" si="10"/>
        <v>491255241</v>
      </c>
      <c r="G62" s="1068">
        <f t="shared" si="10"/>
        <v>495061773</v>
      </c>
      <c r="H62" s="1068">
        <f t="shared" si="10"/>
        <v>495061773</v>
      </c>
      <c r="I62" s="1068">
        <f t="shared" si="10"/>
        <v>864234890</v>
      </c>
      <c r="J62" s="1068">
        <f>SUM(J24+J27+J33+J43+J46+J52+J55+J61)</f>
        <v>1199775895</v>
      </c>
    </row>
  </sheetData>
  <sheetProtection/>
  <mergeCells count="7">
    <mergeCell ref="A1:I1"/>
    <mergeCell ref="A9:B10"/>
    <mergeCell ref="A4:F4"/>
    <mergeCell ref="E8:J8"/>
    <mergeCell ref="A5:J6"/>
    <mergeCell ref="A2:J2"/>
    <mergeCell ref="A3:J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V116"/>
  <sheetViews>
    <sheetView view="pageBreakPreview" zoomScaleSheetLayoutView="100" zoomScalePageLayoutView="0" workbookViewId="0" topLeftCell="A1">
      <selection activeCell="C3" sqref="C3:I3"/>
    </sheetView>
  </sheetViews>
  <sheetFormatPr defaultColWidth="11.7109375" defaultRowHeight="12.75" customHeight="1"/>
  <cols>
    <col min="1" max="2" width="3.8515625" style="56" customWidth="1"/>
    <col min="3" max="3" width="44.7109375" style="56" customWidth="1"/>
    <col min="4" max="4" width="18.28125" style="57" customWidth="1"/>
    <col min="5" max="5" width="18.00390625" style="57" customWidth="1"/>
    <col min="6" max="6" width="19.421875" style="57" customWidth="1"/>
    <col min="7" max="7" width="18.140625" style="57" customWidth="1"/>
    <col min="8" max="8" width="19.28125" style="57" customWidth="1"/>
    <col min="9" max="9" width="18.140625" style="57" customWidth="1"/>
    <col min="10" max="10" width="19.57421875" style="57" customWidth="1"/>
    <col min="11" max="16384" width="11.7109375" style="56" customWidth="1"/>
  </cols>
  <sheetData>
    <row r="1" spans="1:9" s="111" customFormat="1" ht="18" customHeight="1">
      <c r="A1" s="1673" t="s">
        <v>237</v>
      </c>
      <c r="B1" s="1673"/>
      <c r="C1" s="1673"/>
      <c r="D1" s="1673"/>
      <c r="E1" s="1673"/>
      <c r="F1" s="1673"/>
      <c r="G1" s="1673"/>
      <c r="H1" s="1673"/>
      <c r="I1" s="1673"/>
    </row>
    <row r="2" spans="1:10" ht="19.5" customHeight="1">
      <c r="A2" s="1695" t="s">
        <v>1133</v>
      </c>
      <c r="B2" s="1695"/>
      <c r="C2" s="1695"/>
      <c r="D2" s="1695"/>
      <c r="E2" s="1695"/>
      <c r="F2" s="1695"/>
      <c r="G2" s="1695"/>
      <c r="H2" s="1695"/>
      <c r="I2" s="1695"/>
      <c r="J2" s="1695"/>
    </row>
    <row r="3" spans="1:10" ht="19.5" customHeight="1">
      <c r="A3" s="1640"/>
      <c r="B3" s="1640"/>
      <c r="C3" s="1698" t="s">
        <v>1135</v>
      </c>
      <c r="D3" s="1698"/>
      <c r="E3" s="1698"/>
      <c r="F3" s="1698"/>
      <c r="G3" s="1698"/>
      <c r="H3" s="1698"/>
      <c r="I3" s="1698"/>
      <c r="J3" s="1640"/>
    </row>
    <row r="4" spans="1:252" ht="45.75" customHeight="1">
      <c r="A4" s="1696" t="s">
        <v>238</v>
      </c>
      <c r="B4" s="1696"/>
      <c r="C4" s="1696"/>
      <c r="D4" s="1696"/>
      <c r="E4" s="1696"/>
      <c r="F4" s="1696"/>
      <c r="G4" s="1696"/>
      <c r="H4" s="1696"/>
      <c r="I4" s="1696"/>
      <c r="J4" s="169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2.75" customHeight="1">
      <c r="A5" s="1697" t="s">
        <v>239</v>
      </c>
      <c r="B5" s="1697"/>
      <c r="C5" s="1697"/>
      <c r="D5" s="1697"/>
      <c r="E5" s="1697"/>
      <c r="F5" s="1697"/>
      <c r="G5" s="1697"/>
      <c r="H5" s="1697"/>
      <c r="I5" s="1697"/>
      <c r="J5" s="169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2.75" customHeight="1">
      <c r="A6" s="1511"/>
      <c r="B6" s="1511"/>
      <c r="C6" s="1511"/>
      <c r="D6" s="1511"/>
      <c r="E6" s="1511"/>
      <c r="F6" s="1511"/>
      <c r="G6" s="1511"/>
      <c r="H6" s="1511"/>
      <c r="I6" s="1511"/>
      <c r="J6" s="151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5.75" customHeight="1" thickBot="1">
      <c r="A7" s="1694" t="s">
        <v>240</v>
      </c>
      <c r="B7" s="1694"/>
      <c r="C7" s="1694"/>
      <c r="D7" s="1686" t="s">
        <v>219</v>
      </c>
      <c r="E7" s="1686"/>
      <c r="F7" s="1686"/>
      <c r="G7" s="1686"/>
      <c r="H7" s="1686"/>
      <c r="I7" s="168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27" customHeight="1">
      <c r="A8" s="1699" t="s">
        <v>156</v>
      </c>
      <c r="B8" s="1700"/>
      <c r="C8" s="568" t="s">
        <v>157</v>
      </c>
      <c r="D8" s="569" t="s">
        <v>241</v>
      </c>
      <c r="E8" s="570" t="s">
        <v>159</v>
      </c>
      <c r="F8" s="570" t="s">
        <v>793</v>
      </c>
      <c r="G8" s="570" t="s">
        <v>803</v>
      </c>
      <c r="H8" s="570" t="s">
        <v>885</v>
      </c>
      <c r="I8" s="570" t="s">
        <v>891</v>
      </c>
      <c r="J8" s="570" t="s">
        <v>947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.75" customHeight="1" thickBot="1">
      <c r="A9" s="1701"/>
      <c r="B9" s="1702"/>
      <c r="C9" s="571" t="s">
        <v>161</v>
      </c>
      <c r="D9" s="572" t="s">
        <v>162</v>
      </c>
      <c r="E9" s="573" t="s">
        <v>163</v>
      </c>
      <c r="F9" s="573" t="s">
        <v>164</v>
      </c>
      <c r="G9" s="573" t="s">
        <v>505</v>
      </c>
      <c r="H9" s="573" t="s">
        <v>525</v>
      </c>
      <c r="I9" s="573" t="s">
        <v>804</v>
      </c>
      <c r="J9" s="573" t="s">
        <v>890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520" customFormat="1" ht="23.25" customHeight="1">
      <c r="A10" s="564" t="s">
        <v>38</v>
      </c>
      <c r="B10" s="565"/>
      <c r="C10" s="566" t="s">
        <v>639</v>
      </c>
      <c r="D10" s="567">
        <f>SUM('19 önkormányzat'!E9)</f>
        <v>58009000</v>
      </c>
      <c r="E10" s="567">
        <f>SUM('19 önkormányzat'!F9)</f>
        <v>60171959</v>
      </c>
      <c r="F10" s="567">
        <f>SUM('19 önkormányzat'!G9)</f>
        <v>60171959</v>
      </c>
      <c r="G10" s="567">
        <f>SUM('19 önkormányzat'!H9)</f>
        <v>60171959</v>
      </c>
      <c r="H10" s="567">
        <f>SUM('19 önkormányzat'!I9)</f>
        <v>60171959</v>
      </c>
      <c r="I10" s="567">
        <f>SUM('19 önkormányzat'!J9)</f>
        <v>60171959</v>
      </c>
      <c r="J10" s="567">
        <f>SUM('19 önkormányzat'!K9)</f>
        <v>61362783</v>
      </c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/>
      <c r="BN10" s="464"/>
      <c r="BO10" s="464"/>
      <c r="BP10" s="464"/>
      <c r="BQ10" s="464"/>
      <c r="BR10" s="464"/>
      <c r="BS10" s="464"/>
      <c r="BT10" s="464"/>
      <c r="BU10" s="464"/>
      <c r="BV10" s="464"/>
      <c r="BW10" s="464"/>
      <c r="BX10" s="464"/>
      <c r="BY10" s="464"/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4"/>
      <c r="DF10" s="464"/>
      <c r="DG10" s="464"/>
      <c r="DH10" s="464"/>
      <c r="DI10" s="464"/>
      <c r="DJ10" s="464"/>
      <c r="DK10" s="464"/>
      <c r="DL10" s="464"/>
      <c r="DM10" s="464"/>
      <c r="DN10" s="464"/>
      <c r="DO10" s="464"/>
      <c r="DP10" s="464"/>
      <c r="DQ10" s="464"/>
      <c r="DR10" s="464"/>
      <c r="DS10" s="464"/>
      <c r="DT10" s="464"/>
      <c r="DU10" s="464"/>
      <c r="DV10" s="464"/>
      <c r="DW10" s="464"/>
      <c r="DX10" s="464"/>
      <c r="DY10" s="464"/>
      <c r="DZ10" s="464"/>
      <c r="EA10" s="464"/>
      <c r="EB10" s="464"/>
      <c r="EC10" s="464"/>
      <c r="ED10" s="464"/>
      <c r="EE10" s="464"/>
      <c r="EF10" s="464"/>
      <c r="EG10" s="464"/>
      <c r="EH10" s="464"/>
      <c r="EI10" s="464"/>
      <c r="EJ10" s="464"/>
      <c r="EK10" s="464"/>
      <c r="EL10" s="464"/>
      <c r="EM10" s="464"/>
      <c r="EN10" s="464"/>
      <c r="EO10" s="464"/>
      <c r="EP10" s="464"/>
      <c r="EQ10" s="464"/>
      <c r="ER10" s="464"/>
      <c r="ES10" s="464"/>
      <c r="ET10" s="464"/>
      <c r="EU10" s="464"/>
      <c r="EV10" s="464"/>
      <c r="EW10" s="464"/>
      <c r="EX10" s="464"/>
      <c r="EY10" s="464"/>
      <c r="EZ10" s="464"/>
      <c r="FA10" s="464"/>
      <c r="FB10" s="464"/>
      <c r="FC10" s="464"/>
      <c r="FD10" s="464"/>
      <c r="FE10" s="464"/>
      <c r="FF10" s="464"/>
      <c r="FG10" s="464"/>
      <c r="FH10" s="464"/>
      <c r="FI10" s="464"/>
      <c r="FJ10" s="464"/>
      <c r="FK10" s="464"/>
      <c r="FL10" s="464"/>
      <c r="FM10" s="464"/>
      <c r="FN10" s="464"/>
      <c r="FO10" s="464"/>
      <c r="FP10" s="464"/>
      <c r="FQ10" s="464"/>
      <c r="FR10" s="464"/>
      <c r="FS10" s="464"/>
      <c r="FT10" s="464"/>
      <c r="FU10" s="464"/>
      <c r="FV10" s="464"/>
      <c r="FW10" s="464"/>
      <c r="FX10" s="464"/>
      <c r="FY10" s="464"/>
      <c r="FZ10" s="464"/>
      <c r="GA10" s="464"/>
      <c r="GB10" s="464"/>
      <c r="GC10" s="464"/>
      <c r="GD10" s="464"/>
      <c r="GE10" s="464"/>
      <c r="GF10" s="464"/>
      <c r="GG10" s="464"/>
      <c r="GH10" s="464"/>
      <c r="GI10" s="464"/>
      <c r="GJ10" s="464"/>
      <c r="GK10" s="464"/>
      <c r="GL10" s="464"/>
      <c r="GM10" s="464"/>
      <c r="GN10" s="464"/>
      <c r="GO10" s="464"/>
      <c r="GP10" s="464"/>
      <c r="GQ10" s="464"/>
      <c r="GR10" s="464"/>
      <c r="GS10" s="464"/>
      <c r="GT10" s="464"/>
      <c r="GU10" s="464"/>
      <c r="GV10" s="464"/>
      <c r="GW10" s="464"/>
      <c r="GX10" s="464"/>
      <c r="GY10" s="464"/>
      <c r="GZ10" s="464"/>
      <c r="HA10" s="464"/>
      <c r="HB10" s="464"/>
      <c r="HC10" s="464"/>
      <c r="HD10" s="464"/>
      <c r="HE10" s="464"/>
      <c r="HF10" s="464"/>
      <c r="HG10" s="464"/>
      <c r="HH10" s="464"/>
      <c r="HI10" s="464"/>
      <c r="HJ10" s="464"/>
      <c r="HK10" s="464"/>
      <c r="HL10" s="464"/>
      <c r="HM10" s="464"/>
      <c r="HN10" s="464"/>
      <c r="HO10" s="464"/>
      <c r="HP10" s="464"/>
      <c r="HQ10" s="464"/>
      <c r="HR10" s="464"/>
      <c r="HS10" s="464"/>
      <c r="HT10" s="464"/>
      <c r="HU10" s="464"/>
      <c r="HV10" s="464"/>
      <c r="HW10" s="464"/>
      <c r="HX10" s="464"/>
      <c r="HY10" s="464"/>
      <c r="HZ10" s="464"/>
      <c r="IA10" s="464"/>
      <c r="IB10" s="464"/>
      <c r="IC10" s="464"/>
      <c r="ID10" s="464"/>
      <c r="IE10" s="464"/>
      <c r="IF10" s="464"/>
      <c r="IG10" s="464"/>
      <c r="IH10" s="464"/>
      <c r="II10" s="464"/>
      <c r="IJ10" s="464"/>
      <c r="IK10" s="464"/>
      <c r="IL10" s="464"/>
      <c r="IM10" s="464"/>
      <c r="IN10" s="464"/>
      <c r="IO10" s="464"/>
      <c r="IP10" s="464"/>
      <c r="IQ10" s="464"/>
      <c r="IR10" s="464"/>
    </row>
    <row r="11" spans="1:252" s="520" customFormat="1" ht="27.75" customHeight="1">
      <c r="A11" s="556" t="s">
        <v>40</v>
      </c>
      <c r="B11" s="557"/>
      <c r="C11" s="558" t="s">
        <v>640</v>
      </c>
      <c r="D11" s="567">
        <f>SUM('19 önkormányzat'!E10)</f>
        <v>67773000</v>
      </c>
      <c r="E11" s="567">
        <f>SUM('19 önkormányzat'!F10)</f>
        <v>68089907</v>
      </c>
      <c r="F11" s="567">
        <f>SUM('19 önkormányzat'!G10)</f>
        <v>68089907</v>
      </c>
      <c r="G11" s="567">
        <f>SUM('19 önkormányzat'!H10)</f>
        <v>68089907</v>
      </c>
      <c r="H11" s="567">
        <f>SUM('19 önkormányzat'!I10)</f>
        <v>68089907</v>
      </c>
      <c r="I11" s="567">
        <f>SUM('19 önkormányzat'!J10)</f>
        <v>68089907</v>
      </c>
      <c r="J11" s="567">
        <f>SUM('19 önkormányzat'!K10)</f>
        <v>71201042</v>
      </c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4"/>
      <c r="BE11" s="464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  <c r="BP11" s="464"/>
      <c r="BQ11" s="464"/>
      <c r="BR11" s="464"/>
      <c r="BS11" s="464"/>
      <c r="BT11" s="464"/>
      <c r="BU11" s="464"/>
      <c r="BV11" s="464"/>
      <c r="BW11" s="464"/>
      <c r="BX11" s="464"/>
      <c r="BY11" s="464"/>
      <c r="BZ11" s="464"/>
      <c r="CA11" s="464"/>
      <c r="CB11" s="464"/>
      <c r="CC11" s="464"/>
      <c r="CD11" s="464"/>
      <c r="CE11" s="464"/>
      <c r="CF11" s="464"/>
      <c r="CG11" s="464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4"/>
      <c r="CW11" s="464"/>
      <c r="CX11" s="464"/>
      <c r="CY11" s="464"/>
      <c r="CZ11" s="464"/>
      <c r="DA11" s="464"/>
      <c r="DB11" s="464"/>
      <c r="DC11" s="464"/>
      <c r="DD11" s="464"/>
      <c r="DE11" s="464"/>
      <c r="DF11" s="464"/>
      <c r="DG11" s="464"/>
      <c r="DH11" s="464"/>
      <c r="DI11" s="464"/>
      <c r="DJ11" s="464"/>
      <c r="DK11" s="464"/>
      <c r="DL11" s="464"/>
      <c r="DM11" s="464"/>
      <c r="DN11" s="464"/>
      <c r="DO11" s="464"/>
      <c r="DP11" s="464"/>
      <c r="DQ11" s="464"/>
      <c r="DR11" s="464"/>
      <c r="DS11" s="464"/>
      <c r="DT11" s="464"/>
      <c r="DU11" s="464"/>
      <c r="DV11" s="464"/>
      <c r="DW11" s="464"/>
      <c r="DX11" s="464"/>
      <c r="DY11" s="464"/>
      <c r="DZ11" s="464"/>
      <c r="EA11" s="464"/>
      <c r="EB11" s="464"/>
      <c r="EC11" s="464"/>
      <c r="ED11" s="464"/>
      <c r="EE11" s="464"/>
      <c r="EF11" s="464"/>
      <c r="EG11" s="464"/>
      <c r="EH11" s="464"/>
      <c r="EI11" s="464"/>
      <c r="EJ11" s="464"/>
      <c r="EK11" s="464"/>
      <c r="EL11" s="464"/>
      <c r="EM11" s="464"/>
      <c r="EN11" s="464"/>
      <c r="EO11" s="464"/>
      <c r="EP11" s="464"/>
      <c r="EQ11" s="464"/>
      <c r="ER11" s="464"/>
      <c r="ES11" s="464"/>
      <c r="ET11" s="464"/>
      <c r="EU11" s="464"/>
      <c r="EV11" s="464"/>
      <c r="EW11" s="464"/>
      <c r="EX11" s="464"/>
      <c r="EY11" s="464"/>
      <c r="EZ11" s="464"/>
      <c r="FA11" s="464"/>
      <c r="FB11" s="464"/>
      <c r="FC11" s="464"/>
      <c r="FD11" s="464"/>
      <c r="FE11" s="464"/>
      <c r="FF11" s="464"/>
      <c r="FG11" s="464"/>
      <c r="FH11" s="464"/>
      <c r="FI11" s="464"/>
      <c r="FJ11" s="464"/>
      <c r="FK11" s="464"/>
      <c r="FL11" s="464"/>
      <c r="FM11" s="464"/>
      <c r="FN11" s="464"/>
      <c r="FO11" s="464"/>
      <c r="FP11" s="464"/>
      <c r="FQ11" s="464"/>
      <c r="FR11" s="464"/>
      <c r="FS11" s="464"/>
      <c r="FT11" s="464"/>
      <c r="FU11" s="464"/>
      <c r="FV11" s="464"/>
      <c r="FW11" s="464"/>
      <c r="FX11" s="464"/>
      <c r="FY11" s="464"/>
      <c r="FZ11" s="464"/>
      <c r="GA11" s="464"/>
      <c r="GB11" s="464"/>
      <c r="GC11" s="464"/>
      <c r="GD11" s="464"/>
      <c r="GE11" s="464"/>
      <c r="GF11" s="464"/>
      <c r="GG11" s="464"/>
      <c r="GH11" s="464"/>
      <c r="GI11" s="464"/>
      <c r="GJ11" s="464"/>
      <c r="GK11" s="464"/>
      <c r="GL11" s="464"/>
      <c r="GM11" s="464"/>
      <c r="GN11" s="464"/>
      <c r="GO11" s="464"/>
      <c r="GP11" s="464"/>
      <c r="GQ11" s="464"/>
      <c r="GR11" s="464"/>
      <c r="GS11" s="464"/>
      <c r="GT11" s="464"/>
      <c r="GU11" s="464"/>
      <c r="GV11" s="464"/>
      <c r="GW11" s="464"/>
      <c r="GX11" s="464"/>
      <c r="GY11" s="464"/>
      <c r="GZ11" s="464"/>
      <c r="HA11" s="464"/>
      <c r="HB11" s="464"/>
      <c r="HC11" s="464"/>
      <c r="HD11" s="464"/>
      <c r="HE11" s="464"/>
      <c r="HF11" s="464"/>
      <c r="HG11" s="464"/>
      <c r="HH11" s="464"/>
      <c r="HI11" s="464"/>
      <c r="HJ11" s="464"/>
      <c r="HK11" s="464"/>
      <c r="HL11" s="464"/>
      <c r="HM11" s="464"/>
      <c r="HN11" s="464"/>
      <c r="HO11" s="464"/>
      <c r="HP11" s="464"/>
      <c r="HQ11" s="464"/>
      <c r="HR11" s="464"/>
      <c r="HS11" s="464"/>
      <c r="HT11" s="464"/>
      <c r="HU11" s="464"/>
      <c r="HV11" s="464"/>
      <c r="HW11" s="464"/>
      <c r="HX11" s="464"/>
      <c r="HY11" s="464"/>
      <c r="HZ11" s="464"/>
      <c r="IA11" s="464"/>
      <c r="IB11" s="464"/>
      <c r="IC11" s="464"/>
      <c r="ID11" s="464"/>
      <c r="IE11" s="464"/>
      <c r="IF11" s="464"/>
      <c r="IG11" s="464"/>
      <c r="IH11" s="464"/>
      <c r="II11" s="464"/>
      <c r="IJ11" s="464"/>
      <c r="IK11" s="464"/>
      <c r="IL11" s="464"/>
      <c r="IM11" s="464"/>
      <c r="IN11" s="464"/>
      <c r="IO11" s="464"/>
      <c r="IP11" s="464"/>
      <c r="IQ11" s="464"/>
      <c r="IR11" s="464"/>
    </row>
    <row r="12" spans="1:252" s="520" customFormat="1" ht="29.25" customHeight="1">
      <c r="A12" s="556" t="s">
        <v>47</v>
      </c>
      <c r="B12" s="557"/>
      <c r="C12" s="558" t="s">
        <v>661</v>
      </c>
      <c r="D12" s="567">
        <f>SUM('19 önkormányzat'!E11)</f>
        <v>52490000</v>
      </c>
      <c r="E12" s="567">
        <f>SUM('19 önkormányzat'!F11)</f>
        <v>50423193</v>
      </c>
      <c r="F12" s="567">
        <f>SUM('19 önkormányzat'!G11)</f>
        <v>50423193</v>
      </c>
      <c r="G12" s="567">
        <f>SUM('19 önkormányzat'!H11)</f>
        <v>50423193</v>
      </c>
      <c r="H12" s="567">
        <f>SUM('19 önkormányzat'!I11)</f>
        <v>50423193</v>
      </c>
      <c r="I12" s="567">
        <f>SUM('19 önkormányzat'!J11)</f>
        <v>50423193</v>
      </c>
      <c r="J12" s="567">
        <f>SUM('19 önkormányzat'!K11)</f>
        <v>58979458</v>
      </c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  <c r="BQ12" s="464"/>
      <c r="BR12" s="464"/>
      <c r="BS12" s="464"/>
      <c r="BT12" s="464"/>
      <c r="BU12" s="464"/>
      <c r="BV12" s="464"/>
      <c r="BW12" s="464"/>
      <c r="BX12" s="464"/>
      <c r="BY12" s="464"/>
      <c r="BZ12" s="464"/>
      <c r="CA12" s="464"/>
      <c r="CB12" s="464"/>
      <c r="CC12" s="464"/>
      <c r="CD12" s="464"/>
      <c r="CE12" s="464"/>
      <c r="CF12" s="464"/>
      <c r="CG12" s="464"/>
      <c r="CH12" s="464"/>
      <c r="CI12" s="464"/>
      <c r="CJ12" s="464"/>
      <c r="CK12" s="464"/>
      <c r="CL12" s="464"/>
      <c r="CM12" s="464"/>
      <c r="CN12" s="464"/>
      <c r="CO12" s="464"/>
      <c r="CP12" s="464"/>
      <c r="CQ12" s="464"/>
      <c r="CR12" s="464"/>
      <c r="CS12" s="464"/>
      <c r="CT12" s="464"/>
      <c r="CU12" s="464"/>
      <c r="CV12" s="464"/>
      <c r="CW12" s="464"/>
      <c r="CX12" s="464"/>
      <c r="CY12" s="464"/>
      <c r="CZ12" s="464"/>
      <c r="DA12" s="464"/>
      <c r="DB12" s="464"/>
      <c r="DC12" s="464"/>
      <c r="DD12" s="464"/>
      <c r="DE12" s="464"/>
      <c r="DF12" s="464"/>
      <c r="DG12" s="464"/>
      <c r="DH12" s="464"/>
      <c r="DI12" s="464"/>
      <c r="DJ12" s="464"/>
      <c r="DK12" s="464"/>
      <c r="DL12" s="464"/>
      <c r="DM12" s="464"/>
      <c r="DN12" s="464"/>
      <c r="DO12" s="464"/>
      <c r="DP12" s="464"/>
      <c r="DQ12" s="464"/>
      <c r="DR12" s="464"/>
      <c r="DS12" s="464"/>
      <c r="DT12" s="464"/>
      <c r="DU12" s="464"/>
      <c r="DV12" s="464"/>
      <c r="DW12" s="464"/>
      <c r="DX12" s="464"/>
      <c r="DY12" s="464"/>
      <c r="DZ12" s="464"/>
      <c r="EA12" s="464"/>
      <c r="EB12" s="464"/>
      <c r="EC12" s="464"/>
      <c r="ED12" s="464"/>
      <c r="EE12" s="464"/>
      <c r="EF12" s="464"/>
      <c r="EG12" s="464"/>
      <c r="EH12" s="464"/>
      <c r="EI12" s="464"/>
      <c r="EJ12" s="464"/>
      <c r="EK12" s="464"/>
      <c r="EL12" s="464"/>
      <c r="EM12" s="464"/>
      <c r="EN12" s="464"/>
      <c r="EO12" s="464"/>
      <c r="EP12" s="464"/>
      <c r="EQ12" s="464"/>
      <c r="ER12" s="464"/>
      <c r="ES12" s="464"/>
      <c r="ET12" s="464"/>
      <c r="EU12" s="464"/>
      <c r="EV12" s="464"/>
      <c r="EW12" s="464"/>
      <c r="EX12" s="464"/>
      <c r="EY12" s="464"/>
      <c r="EZ12" s="464"/>
      <c r="FA12" s="464"/>
      <c r="FB12" s="464"/>
      <c r="FC12" s="464"/>
      <c r="FD12" s="464"/>
      <c r="FE12" s="464"/>
      <c r="FF12" s="464"/>
      <c r="FG12" s="464"/>
      <c r="FH12" s="464"/>
      <c r="FI12" s="464"/>
      <c r="FJ12" s="464"/>
      <c r="FK12" s="464"/>
      <c r="FL12" s="464"/>
      <c r="FM12" s="464"/>
      <c r="FN12" s="464"/>
      <c r="FO12" s="464"/>
      <c r="FP12" s="464"/>
      <c r="FQ12" s="464"/>
      <c r="FR12" s="464"/>
      <c r="FS12" s="464"/>
      <c r="FT12" s="464"/>
      <c r="FU12" s="464"/>
      <c r="FV12" s="464"/>
      <c r="FW12" s="464"/>
      <c r="FX12" s="464"/>
      <c r="FY12" s="464"/>
      <c r="FZ12" s="464"/>
      <c r="GA12" s="464"/>
      <c r="GB12" s="464"/>
      <c r="GC12" s="464"/>
      <c r="GD12" s="464"/>
      <c r="GE12" s="464"/>
      <c r="GF12" s="464"/>
      <c r="GG12" s="464"/>
      <c r="GH12" s="464"/>
      <c r="GI12" s="464"/>
      <c r="GJ12" s="464"/>
      <c r="GK12" s="464"/>
      <c r="GL12" s="464"/>
      <c r="GM12" s="464"/>
      <c r="GN12" s="464"/>
      <c r="GO12" s="464"/>
      <c r="GP12" s="464"/>
      <c r="GQ12" s="464"/>
      <c r="GR12" s="464"/>
      <c r="GS12" s="464"/>
      <c r="GT12" s="464"/>
      <c r="GU12" s="464"/>
      <c r="GV12" s="464"/>
      <c r="GW12" s="464"/>
      <c r="GX12" s="464"/>
      <c r="GY12" s="464"/>
      <c r="GZ12" s="464"/>
      <c r="HA12" s="464"/>
      <c r="HB12" s="464"/>
      <c r="HC12" s="464"/>
      <c r="HD12" s="464"/>
      <c r="HE12" s="464"/>
      <c r="HF12" s="464"/>
      <c r="HG12" s="464"/>
      <c r="HH12" s="464"/>
      <c r="HI12" s="464"/>
      <c r="HJ12" s="464"/>
      <c r="HK12" s="464"/>
      <c r="HL12" s="464"/>
      <c r="HM12" s="464"/>
      <c r="HN12" s="464"/>
      <c r="HO12" s="464"/>
      <c r="HP12" s="464"/>
      <c r="HQ12" s="464"/>
      <c r="HR12" s="464"/>
      <c r="HS12" s="464"/>
      <c r="HT12" s="464"/>
      <c r="HU12" s="464"/>
      <c r="HV12" s="464"/>
      <c r="HW12" s="464"/>
      <c r="HX12" s="464"/>
      <c r="HY12" s="464"/>
      <c r="HZ12" s="464"/>
      <c r="IA12" s="464"/>
      <c r="IB12" s="464"/>
      <c r="IC12" s="464"/>
      <c r="ID12" s="464"/>
      <c r="IE12" s="464"/>
      <c r="IF12" s="464"/>
      <c r="IG12" s="464"/>
      <c r="IH12" s="464"/>
      <c r="II12" s="464"/>
      <c r="IJ12" s="464"/>
      <c r="IK12" s="464"/>
      <c r="IL12" s="464"/>
      <c r="IM12" s="464"/>
      <c r="IN12" s="464"/>
      <c r="IO12" s="464"/>
      <c r="IP12" s="464"/>
      <c r="IQ12" s="464"/>
      <c r="IR12" s="464"/>
    </row>
    <row r="13" spans="1:252" s="520" customFormat="1" ht="24" customHeight="1">
      <c r="A13" s="556" t="s">
        <v>49</v>
      </c>
      <c r="B13" s="557"/>
      <c r="C13" s="558" t="s">
        <v>641</v>
      </c>
      <c r="D13" s="567">
        <f>SUM('19 önkormányzat'!E12)</f>
        <v>4028000</v>
      </c>
      <c r="E13" s="567">
        <f>SUM('19 önkormányzat'!F12)</f>
        <v>3982020</v>
      </c>
      <c r="F13" s="567">
        <f>SUM('19 önkormányzat'!G12)</f>
        <v>3982020</v>
      </c>
      <c r="G13" s="567">
        <f>SUM('19 önkormányzat'!H12)</f>
        <v>3982020</v>
      </c>
      <c r="H13" s="567">
        <f>SUM('19 önkormányzat'!I12)</f>
        <v>3982020</v>
      </c>
      <c r="I13" s="567">
        <f>SUM('19 önkormányzat'!J12)</f>
        <v>3982020</v>
      </c>
      <c r="J13" s="567">
        <f>SUM('19 önkormányzat'!K12)</f>
        <v>4769156</v>
      </c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464"/>
      <c r="BD13" s="464"/>
      <c r="BE13" s="464"/>
      <c r="BF13" s="464"/>
      <c r="BG13" s="464"/>
      <c r="BH13" s="464"/>
      <c r="BI13" s="464"/>
      <c r="BJ13" s="464"/>
      <c r="BK13" s="464"/>
      <c r="BL13" s="464"/>
      <c r="BM13" s="464"/>
      <c r="BN13" s="464"/>
      <c r="BO13" s="464"/>
      <c r="BP13" s="464"/>
      <c r="BQ13" s="464"/>
      <c r="BR13" s="464"/>
      <c r="BS13" s="464"/>
      <c r="BT13" s="464"/>
      <c r="BU13" s="464"/>
      <c r="BV13" s="464"/>
      <c r="BW13" s="464"/>
      <c r="BX13" s="464"/>
      <c r="BY13" s="464"/>
      <c r="BZ13" s="464"/>
      <c r="CA13" s="464"/>
      <c r="CB13" s="464"/>
      <c r="CC13" s="464"/>
      <c r="CD13" s="464"/>
      <c r="CE13" s="464"/>
      <c r="CF13" s="464"/>
      <c r="CG13" s="464"/>
      <c r="CH13" s="464"/>
      <c r="CI13" s="464"/>
      <c r="CJ13" s="464"/>
      <c r="CK13" s="464"/>
      <c r="CL13" s="464"/>
      <c r="CM13" s="464"/>
      <c r="CN13" s="464"/>
      <c r="CO13" s="464"/>
      <c r="CP13" s="464"/>
      <c r="CQ13" s="464"/>
      <c r="CR13" s="464"/>
      <c r="CS13" s="464"/>
      <c r="CT13" s="464"/>
      <c r="CU13" s="464"/>
      <c r="CV13" s="464"/>
      <c r="CW13" s="464"/>
      <c r="CX13" s="464"/>
      <c r="CY13" s="464"/>
      <c r="CZ13" s="464"/>
      <c r="DA13" s="464"/>
      <c r="DB13" s="464"/>
      <c r="DC13" s="464"/>
      <c r="DD13" s="464"/>
      <c r="DE13" s="464"/>
      <c r="DF13" s="464"/>
      <c r="DG13" s="464"/>
      <c r="DH13" s="464"/>
      <c r="DI13" s="464"/>
      <c r="DJ13" s="464"/>
      <c r="DK13" s="464"/>
      <c r="DL13" s="464"/>
      <c r="DM13" s="464"/>
      <c r="DN13" s="464"/>
      <c r="DO13" s="464"/>
      <c r="DP13" s="464"/>
      <c r="DQ13" s="464"/>
      <c r="DR13" s="464"/>
      <c r="DS13" s="464"/>
      <c r="DT13" s="464"/>
      <c r="DU13" s="464"/>
      <c r="DV13" s="464"/>
      <c r="DW13" s="464"/>
      <c r="DX13" s="464"/>
      <c r="DY13" s="464"/>
      <c r="DZ13" s="464"/>
      <c r="EA13" s="464"/>
      <c r="EB13" s="464"/>
      <c r="EC13" s="464"/>
      <c r="ED13" s="464"/>
      <c r="EE13" s="464"/>
      <c r="EF13" s="464"/>
      <c r="EG13" s="464"/>
      <c r="EH13" s="464"/>
      <c r="EI13" s="464"/>
      <c r="EJ13" s="464"/>
      <c r="EK13" s="464"/>
      <c r="EL13" s="464"/>
      <c r="EM13" s="464"/>
      <c r="EN13" s="464"/>
      <c r="EO13" s="464"/>
      <c r="EP13" s="464"/>
      <c r="EQ13" s="464"/>
      <c r="ER13" s="464"/>
      <c r="ES13" s="464"/>
      <c r="ET13" s="464"/>
      <c r="EU13" s="464"/>
      <c r="EV13" s="464"/>
      <c r="EW13" s="464"/>
      <c r="EX13" s="464"/>
      <c r="EY13" s="464"/>
      <c r="EZ13" s="464"/>
      <c r="FA13" s="464"/>
      <c r="FB13" s="464"/>
      <c r="FC13" s="464"/>
      <c r="FD13" s="464"/>
      <c r="FE13" s="464"/>
      <c r="FF13" s="464"/>
      <c r="FG13" s="464"/>
      <c r="FH13" s="464"/>
      <c r="FI13" s="464"/>
      <c r="FJ13" s="464"/>
      <c r="FK13" s="464"/>
      <c r="FL13" s="464"/>
      <c r="FM13" s="464"/>
      <c r="FN13" s="464"/>
      <c r="FO13" s="464"/>
      <c r="FP13" s="464"/>
      <c r="FQ13" s="464"/>
      <c r="FR13" s="464"/>
      <c r="FS13" s="464"/>
      <c r="FT13" s="464"/>
      <c r="FU13" s="464"/>
      <c r="FV13" s="464"/>
      <c r="FW13" s="464"/>
      <c r="FX13" s="464"/>
      <c r="FY13" s="464"/>
      <c r="FZ13" s="464"/>
      <c r="GA13" s="464"/>
      <c r="GB13" s="464"/>
      <c r="GC13" s="464"/>
      <c r="GD13" s="464"/>
      <c r="GE13" s="464"/>
      <c r="GF13" s="464"/>
      <c r="GG13" s="464"/>
      <c r="GH13" s="464"/>
      <c r="GI13" s="464"/>
      <c r="GJ13" s="464"/>
      <c r="GK13" s="464"/>
      <c r="GL13" s="464"/>
      <c r="GM13" s="464"/>
      <c r="GN13" s="464"/>
      <c r="GO13" s="464"/>
      <c r="GP13" s="464"/>
      <c r="GQ13" s="464"/>
      <c r="GR13" s="464"/>
      <c r="GS13" s="464"/>
      <c r="GT13" s="464"/>
      <c r="GU13" s="464"/>
      <c r="GV13" s="464"/>
      <c r="GW13" s="464"/>
      <c r="GX13" s="464"/>
      <c r="GY13" s="464"/>
      <c r="GZ13" s="464"/>
      <c r="HA13" s="464"/>
      <c r="HB13" s="464"/>
      <c r="HC13" s="464"/>
      <c r="HD13" s="464"/>
      <c r="HE13" s="464"/>
      <c r="HF13" s="464"/>
      <c r="HG13" s="464"/>
      <c r="HH13" s="464"/>
      <c r="HI13" s="464"/>
      <c r="HJ13" s="464"/>
      <c r="HK13" s="464"/>
      <c r="HL13" s="464"/>
      <c r="HM13" s="464"/>
      <c r="HN13" s="464"/>
      <c r="HO13" s="464"/>
      <c r="HP13" s="464"/>
      <c r="HQ13" s="464"/>
      <c r="HR13" s="464"/>
      <c r="HS13" s="464"/>
      <c r="HT13" s="464"/>
      <c r="HU13" s="464"/>
      <c r="HV13" s="464"/>
      <c r="HW13" s="464"/>
      <c r="HX13" s="464"/>
      <c r="HY13" s="464"/>
      <c r="HZ13" s="464"/>
      <c r="IA13" s="464"/>
      <c r="IB13" s="464"/>
      <c r="IC13" s="464"/>
      <c r="ID13" s="464"/>
      <c r="IE13" s="464"/>
      <c r="IF13" s="464"/>
      <c r="IG13" s="464"/>
      <c r="IH13" s="464"/>
      <c r="II13" s="464"/>
      <c r="IJ13" s="464"/>
      <c r="IK13" s="464"/>
      <c r="IL13" s="464"/>
      <c r="IM13" s="464"/>
      <c r="IN13" s="464"/>
      <c r="IO13" s="464"/>
      <c r="IP13" s="464"/>
      <c r="IQ13" s="464"/>
      <c r="IR13" s="464"/>
    </row>
    <row r="14" spans="1:252" s="520" customFormat="1" ht="22.5" customHeight="1">
      <c r="A14" s="556" t="s">
        <v>51</v>
      </c>
      <c r="B14" s="557"/>
      <c r="C14" s="558" t="s">
        <v>642</v>
      </c>
      <c r="D14" s="567">
        <f>SUM('19 önkormányzat'!E13)</f>
        <v>2561000</v>
      </c>
      <c r="E14" s="567">
        <f>SUM('19 önkormányzat'!F13)</f>
        <v>0</v>
      </c>
      <c r="F14" s="567">
        <f>SUM('19 önkormányzat'!G13)</f>
        <v>231100</v>
      </c>
      <c r="G14" s="567">
        <f>SUM('19 önkormányzat'!H13)</f>
        <v>2794699</v>
      </c>
      <c r="H14" s="567">
        <f>SUM('19 önkormányzat'!I13)</f>
        <v>2794699</v>
      </c>
      <c r="I14" s="567">
        <f>SUM('19 önkormányzat'!J13)</f>
        <v>3796753</v>
      </c>
      <c r="J14" s="567">
        <f>SUM('19 önkormányzat'!K13)</f>
        <v>6598590</v>
      </c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4"/>
      <c r="BM14" s="464"/>
      <c r="BN14" s="464"/>
      <c r="BO14" s="464"/>
      <c r="BP14" s="464"/>
      <c r="BQ14" s="464"/>
      <c r="BR14" s="464"/>
      <c r="BS14" s="464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4"/>
      <c r="CG14" s="464"/>
      <c r="CH14" s="464"/>
      <c r="CI14" s="464"/>
      <c r="CJ14" s="464"/>
      <c r="CK14" s="464"/>
      <c r="CL14" s="464"/>
      <c r="CM14" s="464"/>
      <c r="CN14" s="464"/>
      <c r="CO14" s="464"/>
      <c r="CP14" s="464"/>
      <c r="CQ14" s="464"/>
      <c r="CR14" s="464"/>
      <c r="CS14" s="464"/>
      <c r="CT14" s="464"/>
      <c r="CU14" s="464"/>
      <c r="CV14" s="464"/>
      <c r="CW14" s="464"/>
      <c r="CX14" s="464"/>
      <c r="CY14" s="464"/>
      <c r="CZ14" s="464"/>
      <c r="DA14" s="464"/>
      <c r="DB14" s="464"/>
      <c r="DC14" s="464"/>
      <c r="DD14" s="464"/>
      <c r="DE14" s="464"/>
      <c r="DF14" s="464"/>
      <c r="DG14" s="464"/>
      <c r="DH14" s="464"/>
      <c r="DI14" s="464"/>
      <c r="DJ14" s="464"/>
      <c r="DK14" s="464"/>
      <c r="DL14" s="464"/>
      <c r="DM14" s="464"/>
      <c r="DN14" s="464"/>
      <c r="DO14" s="464"/>
      <c r="DP14" s="464"/>
      <c r="DQ14" s="464"/>
      <c r="DR14" s="464"/>
      <c r="DS14" s="464"/>
      <c r="DT14" s="464"/>
      <c r="DU14" s="464"/>
      <c r="DV14" s="464"/>
      <c r="DW14" s="464"/>
      <c r="DX14" s="464"/>
      <c r="DY14" s="464"/>
      <c r="DZ14" s="464"/>
      <c r="EA14" s="464"/>
      <c r="EB14" s="464"/>
      <c r="EC14" s="464"/>
      <c r="ED14" s="464"/>
      <c r="EE14" s="464"/>
      <c r="EF14" s="464"/>
      <c r="EG14" s="464"/>
      <c r="EH14" s="464"/>
      <c r="EI14" s="464"/>
      <c r="EJ14" s="464"/>
      <c r="EK14" s="464"/>
      <c r="EL14" s="464"/>
      <c r="EM14" s="464"/>
      <c r="EN14" s="464"/>
      <c r="EO14" s="464"/>
      <c r="EP14" s="464"/>
      <c r="EQ14" s="464"/>
      <c r="ER14" s="464"/>
      <c r="ES14" s="464"/>
      <c r="ET14" s="464"/>
      <c r="EU14" s="464"/>
      <c r="EV14" s="464"/>
      <c r="EW14" s="464"/>
      <c r="EX14" s="464"/>
      <c r="EY14" s="464"/>
      <c r="EZ14" s="464"/>
      <c r="FA14" s="464"/>
      <c r="FB14" s="464"/>
      <c r="FC14" s="464"/>
      <c r="FD14" s="464"/>
      <c r="FE14" s="464"/>
      <c r="FF14" s="464"/>
      <c r="FG14" s="464"/>
      <c r="FH14" s="464"/>
      <c r="FI14" s="464"/>
      <c r="FJ14" s="464"/>
      <c r="FK14" s="464"/>
      <c r="FL14" s="464"/>
      <c r="FM14" s="464"/>
      <c r="FN14" s="464"/>
      <c r="FO14" s="464"/>
      <c r="FP14" s="464"/>
      <c r="FQ14" s="464"/>
      <c r="FR14" s="464"/>
      <c r="FS14" s="464"/>
      <c r="FT14" s="464"/>
      <c r="FU14" s="464"/>
      <c r="FV14" s="464"/>
      <c r="FW14" s="464"/>
      <c r="FX14" s="464"/>
      <c r="FY14" s="464"/>
      <c r="FZ14" s="464"/>
      <c r="GA14" s="464"/>
      <c r="GB14" s="464"/>
      <c r="GC14" s="464"/>
      <c r="GD14" s="464"/>
      <c r="GE14" s="464"/>
      <c r="GF14" s="464"/>
      <c r="GG14" s="464"/>
      <c r="GH14" s="464"/>
      <c r="GI14" s="464"/>
      <c r="GJ14" s="464"/>
      <c r="GK14" s="464"/>
      <c r="GL14" s="464"/>
      <c r="GM14" s="464"/>
      <c r="GN14" s="464"/>
      <c r="GO14" s="464"/>
      <c r="GP14" s="464"/>
      <c r="GQ14" s="464"/>
      <c r="GR14" s="464"/>
      <c r="GS14" s="464"/>
      <c r="GT14" s="464"/>
      <c r="GU14" s="464"/>
      <c r="GV14" s="464"/>
      <c r="GW14" s="464"/>
      <c r="GX14" s="464"/>
      <c r="GY14" s="464"/>
      <c r="GZ14" s="464"/>
      <c r="HA14" s="464"/>
      <c r="HB14" s="464"/>
      <c r="HC14" s="464"/>
      <c r="HD14" s="464"/>
      <c r="HE14" s="464"/>
      <c r="HF14" s="464"/>
      <c r="HG14" s="464"/>
      <c r="HH14" s="464"/>
      <c r="HI14" s="464"/>
      <c r="HJ14" s="464"/>
      <c r="HK14" s="464"/>
      <c r="HL14" s="464"/>
      <c r="HM14" s="464"/>
      <c r="HN14" s="464"/>
      <c r="HO14" s="464"/>
      <c r="HP14" s="464"/>
      <c r="HQ14" s="464"/>
      <c r="HR14" s="464"/>
      <c r="HS14" s="464"/>
      <c r="HT14" s="464"/>
      <c r="HU14" s="464"/>
      <c r="HV14" s="464"/>
      <c r="HW14" s="464"/>
      <c r="HX14" s="464"/>
      <c r="HY14" s="464"/>
      <c r="HZ14" s="464"/>
      <c r="IA14" s="464"/>
      <c r="IB14" s="464"/>
      <c r="IC14" s="464"/>
      <c r="ID14" s="464"/>
      <c r="IE14" s="464"/>
      <c r="IF14" s="464"/>
      <c r="IG14" s="464"/>
      <c r="IH14" s="464"/>
      <c r="II14" s="464"/>
      <c r="IJ14" s="464"/>
      <c r="IK14" s="464"/>
      <c r="IL14" s="464"/>
      <c r="IM14" s="464"/>
      <c r="IN14" s="464"/>
      <c r="IO14" s="464"/>
      <c r="IP14" s="464"/>
      <c r="IQ14" s="464"/>
      <c r="IR14" s="464"/>
    </row>
    <row r="15" spans="1:252" s="520" customFormat="1" ht="12.75" customHeight="1">
      <c r="A15" s="556" t="s">
        <v>53</v>
      </c>
      <c r="B15" s="557"/>
      <c r="C15" s="558" t="s">
        <v>643</v>
      </c>
      <c r="D15" s="567">
        <f>SUM('19 önkormányzat'!E14)</f>
        <v>284000</v>
      </c>
      <c r="E15" s="567">
        <f>SUM('19 önkormányzat'!F14)</f>
        <v>0</v>
      </c>
      <c r="F15" s="567">
        <f>SUM('19 önkormányzat'!G14)</f>
        <v>3704266</v>
      </c>
      <c r="G15" s="567">
        <f>SUM('19 önkormányzat'!H14)</f>
        <v>3704266</v>
      </c>
      <c r="H15" s="567">
        <f>SUM('19 önkormányzat'!I14)</f>
        <v>3704266</v>
      </c>
      <c r="I15" s="567">
        <f>SUM('19 önkormányzat'!J14)</f>
        <v>5065640</v>
      </c>
      <c r="J15" s="567">
        <f>SUM('19 önkormányzat'!K14)</f>
        <v>5065640</v>
      </c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64"/>
      <c r="BE15" s="464"/>
      <c r="BF15" s="464"/>
      <c r="BG15" s="464"/>
      <c r="BH15" s="464"/>
      <c r="BI15" s="464"/>
      <c r="BJ15" s="464"/>
      <c r="BK15" s="464"/>
      <c r="BL15" s="464"/>
      <c r="BM15" s="464"/>
      <c r="BN15" s="464"/>
      <c r="BO15" s="464"/>
      <c r="BP15" s="464"/>
      <c r="BQ15" s="464"/>
      <c r="BR15" s="464"/>
      <c r="BS15" s="464"/>
      <c r="BT15" s="464"/>
      <c r="BU15" s="464"/>
      <c r="BV15" s="464"/>
      <c r="BW15" s="464"/>
      <c r="BX15" s="464"/>
      <c r="BY15" s="464"/>
      <c r="BZ15" s="464"/>
      <c r="CA15" s="464"/>
      <c r="CB15" s="464"/>
      <c r="CC15" s="464"/>
      <c r="CD15" s="464"/>
      <c r="CE15" s="464"/>
      <c r="CF15" s="464"/>
      <c r="CG15" s="464"/>
      <c r="CH15" s="464"/>
      <c r="CI15" s="464"/>
      <c r="CJ15" s="464"/>
      <c r="CK15" s="464"/>
      <c r="CL15" s="464"/>
      <c r="CM15" s="464"/>
      <c r="CN15" s="464"/>
      <c r="CO15" s="464"/>
      <c r="CP15" s="464"/>
      <c r="CQ15" s="464"/>
      <c r="CR15" s="464"/>
      <c r="CS15" s="464"/>
      <c r="CT15" s="464"/>
      <c r="CU15" s="464"/>
      <c r="CV15" s="464"/>
      <c r="CW15" s="464"/>
      <c r="CX15" s="464"/>
      <c r="CY15" s="464"/>
      <c r="CZ15" s="464"/>
      <c r="DA15" s="464"/>
      <c r="DB15" s="464"/>
      <c r="DC15" s="464"/>
      <c r="DD15" s="464"/>
      <c r="DE15" s="464"/>
      <c r="DF15" s="464"/>
      <c r="DG15" s="464"/>
      <c r="DH15" s="464"/>
      <c r="DI15" s="464"/>
      <c r="DJ15" s="464"/>
      <c r="DK15" s="464"/>
      <c r="DL15" s="464"/>
      <c r="DM15" s="464"/>
      <c r="DN15" s="464"/>
      <c r="DO15" s="464"/>
      <c r="DP15" s="464"/>
      <c r="DQ15" s="464"/>
      <c r="DR15" s="464"/>
      <c r="DS15" s="464"/>
      <c r="DT15" s="464"/>
      <c r="DU15" s="464"/>
      <c r="DV15" s="464"/>
      <c r="DW15" s="464"/>
      <c r="DX15" s="464"/>
      <c r="DY15" s="464"/>
      <c r="DZ15" s="464"/>
      <c r="EA15" s="464"/>
      <c r="EB15" s="464"/>
      <c r="EC15" s="464"/>
      <c r="ED15" s="464"/>
      <c r="EE15" s="464"/>
      <c r="EF15" s="464"/>
      <c r="EG15" s="464"/>
      <c r="EH15" s="464"/>
      <c r="EI15" s="464"/>
      <c r="EJ15" s="464"/>
      <c r="EK15" s="464"/>
      <c r="EL15" s="464"/>
      <c r="EM15" s="464"/>
      <c r="EN15" s="464"/>
      <c r="EO15" s="464"/>
      <c r="EP15" s="464"/>
      <c r="EQ15" s="464"/>
      <c r="ER15" s="464"/>
      <c r="ES15" s="464"/>
      <c r="ET15" s="464"/>
      <c r="EU15" s="464"/>
      <c r="EV15" s="464"/>
      <c r="EW15" s="464"/>
      <c r="EX15" s="464"/>
      <c r="EY15" s="464"/>
      <c r="EZ15" s="464"/>
      <c r="FA15" s="464"/>
      <c r="FB15" s="464"/>
      <c r="FC15" s="464"/>
      <c r="FD15" s="464"/>
      <c r="FE15" s="464"/>
      <c r="FF15" s="464"/>
      <c r="FG15" s="464"/>
      <c r="FH15" s="464"/>
      <c r="FI15" s="464"/>
      <c r="FJ15" s="464"/>
      <c r="FK15" s="464"/>
      <c r="FL15" s="464"/>
      <c r="FM15" s="464"/>
      <c r="FN15" s="464"/>
      <c r="FO15" s="464"/>
      <c r="FP15" s="464"/>
      <c r="FQ15" s="464"/>
      <c r="FR15" s="464"/>
      <c r="FS15" s="464"/>
      <c r="FT15" s="464"/>
      <c r="FU15" s="464"/>
      <c r="FV15" s="464"/>
      <c r="FW15" s="464"/>
      <c r="FX15" s="464"/>
      <c r="FY15" s="464"/>
      <c r="FZ15" s="464"/>
      <c r="GA15" s="464"/>
      <c r="GB15" s="464"/>
      <c r="GC15" s="464"/>
      <c r="GD15" s="464"/>
      <c r="GE15" s="464"/>
      <c r="GF15" s="464"/>
      <c r="GG15" s="464"/>
      <c r="GH15" s="464"/>
      <c r="GI15" s="464"/>
      <c r="GJ15" s="464"/>
      <c r="GK15" s="464"/>
      <c r="GL15" s="464"/>
      <c r="GM15" s="464"/>
      <c r="GN15" s="464"/>
      <c r="GO15" s="464"/>
      <c r="GP15" s="464"/>
      <c r="GQ15" s="464"/>
      <c r="GR15" s="464"/>
      <c r="GS15" s="464"/>
      <c r="GT15" s="464"/>
      <c r="GU15" s="464"/>
      <c r="GV15" s="464"/>
      <c r="GW15" s="464"/>
      <c r="GX15" s="464"/>
      <c r="GY15" s="464"/>
      <c r="GZ15" s="464"/>
      <c r="HA15" s="464"/>
      <c r="HB15" s="464"/>
      <c r="HC15" s="464"/>
      <c r="HD15" s="464"/>
      <c r="HE15" s="464"/>
      <c r="HF15" s="464"/>
      <c r="HG15" s="464"/>
      <c r="HH15" s="464"/>
      <c r="HI15" s="464"/>
      <c r="HJ15" s="464"/>
      <c r="HK15" s="464"/>
      <c r="HL15" s="464"/>
      <c r="HM15" s="464"/>
      <c r="HN15" s="464"/>
      <c r="HO15" s="464"/>
      <c r="HP15" s="464"/>
      <c r="HQ15" s="464"/>
      <c r="HR15" s="464"/>
      <c r="HS15" s="464"/>
      <c r="HT15" s="464"/>
      <c r="HU15" s="464"/>
      <c r="HV15" s="464"/>
      <c r="HW15" s="464"/>
      <c r="HX15" s="464"/>
      <c r="HY15" s="464"/>
      <c r="HZ15" s="464"/>
      <c r="IA15" s="464"/>
      <c r="IB15" s="464"/>
      <c r="IC15" s="464"/>
      <c r="ID15" s="464"/>
      <c r="IE15" s="464"/>
      <c r="IF15" s="464"/>
      <c r="IG15" s="464"/>
      <c r="IH15" s="464"/>
      <c r="II15" s="464"/>
      <c r="IJ15" s="464"/>
      <c r="IK15" s="464"/>
      <c r="IL15" s="464"/>
      <c r="IM15" s="464"/>
      <c r="IN15" s="464"/>
      <c r="IO15" s="464"/>
      <c r="IP15" s="464"/>
      <c r="IQ15" s="464"/>
      <c r="IR15" s="464"/>
    </row>
    <row r="16" spans="1:252" s="152" customFormat="1" ht="12.75" customHeight="1">
      <c r="A16" s="534" t="s">
        <v>55</v>
      </c>
      <c r="B16" s="560"/>
      <c r="C16" s="489" t="s">
        <v>165</v>
      </c>
      <c r="D16" s="561">
        <f aca="true" t="shared" si="0" ref="D16:I16">SUM(D10:D15)</f>
        <v>185145000</v>
      </c>
      <c r="E16" s="561">
        <f t="shared" si="0"/>
        <v>182667079</v>
      </c>
      <c r="F16" s="561">
        <f t="shared" si="0"/>
        <v>186602445</v>
      </c>
      <c r="G16" s="561">
        <f t="shared" si="0"/>
        <v>189166044</v>
      </c>
      <c r="H16" s="561">
        <f t="shared" si="0"/>
        <v>189166044</v>
      </c>
      <c r="I16" s="561">
        <f t="shared" si="0"/>
        <v>191529472</v>
      </c>
      <c r="J16" s="561">
        <f>SUM(J10:J15)</f>
        <v>207976669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12.75" customHeight="1">
      <c r="A17" s="534" t="s">
        <v>57</v>
      </c>
      <c r="B17" s="536"/>
      <c r="C17" s="541" t="s">
        <v>166</v>
      </c>
      <c r="D17" s="540">
        <f aca="true" t="shared" si="1" ref="D17:I17">SUM(D18:D20)</f>
        <v>44500000</v>
      </c>
      <c r="E17" s="540">
        <f t="shared" si="1"/>
        <v>15145000</v>
      </c>
      <c r="F17" s="540">
        <f t="shared" si="1"/>
        <v>9941807</v>
      </c>
      <c r="G17" s="540">
        <f t="shared" si="1"/>
        <v>9941807</v>
      </c>
      <c r="H17" s="540">
        <f t="shared" si="1"/>
        <v>9941807</v>
      </c>
      <c r="I17" s="540">
        <f t="shared" si="1"/>
        <v>45139149</v>
      </c>
      <c r="J17" s="540">
        <v>122585055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2.75" customHeight="1">
      <c r="A18" s="533" t="s">
        <v>86</v>
      </c>
      <c r="B18" s="537"/>
      <c r="C18" s="542" t="s">
        <v>930</v>
      </c>
      <c r="D18" s="420"/>
      <c r="E18" s="159"/>
      <c r="F18" s="159"/>
      <c r="G18" s="159"/>
      <c r="H18" s="159"/>
      <c r="I18" s="159">
        <v>35197342</v>
      </c>
      <c r="J18" s="159">
        <v>112728050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10" s="148" customFormat="1" ht="12.75" customHeight="1">
      <c r="A19" s="144" t="s">
        <v>59</v>
      </c>
      <c r="B19" s="538"/>
      <c r="C19" s="542" t="s">
        <v>664</v>
      </c>
      <c r="D19" s="419">
        <f>SUM('19 önkormányzat'!E18)</f>
        <v>31199000</v>
      </c>
      <c r="E19" s="419">
        <f>SUM('19 önkormányzat'!F18)</f>
        <v>0</v>
      </c>
      <c r="F19" s="419">
        <f>SUM('19 önkormányzat'!G18)</f>
        <v>0</v>
      </c>
      <c r="G19" s="419">
        <f>SUM('19 önkormányzat'!H18)</f>
        <v>0</v>
      </c>
      <c r="H19" s="419">
        <f>SUM('19 önkormányzat'!I18)</f>
        <v>0</v>
      </c>
      <c r="I19" s="419">
        <f>SUM('19 önkormányzat'!J18)</f>
        <v>0</v>
      </c>
      <c r="J19" s="419">
        <f>SUM('19 önkormányzat'!K18)</f>
        <v>0</v>
      </c>
    </row>
    <row r="20" spans="1:252" ht="12.75" customHeight="1">
      <c r="A20" s="144" t="s">
        <v>63</v>
      </c>
      <c r="B20" s="539"/>
      <c r="C20" s="542" t="s">
        <v>663</v>
      </c>
      <c r="D20" s="419">
        <f>SUM('19 önkormányzat'!E19)</f>
        <v>13301000</v>
      </c>
      <c r="E20" s="419">
        <f>SUM('19 önkormányzat'!F19)</f>
        <v>15145000</v>
      </c>
      <c r="F20" s="419">
        <f>SUM('19 önkormányzat'!G19)</f>
        <v>9941807</v>
      </c>
      <c r="G20" s="419">
        <f>SUM('19 önkormányzat'!H19)</f>
        <v>9941807</v>
      </c>
      <c r="H20" s="419">
        <f>SUM('19 önkormányzat'!I19)</f>
        <v>9941807</v>
      </c>
      <c r="I20" s="419">
        <f>SUM('19 önkormányzat'!J19)</f>
        <v>9941807</v>
      </c>
      <c r="J20" s="419">
        <v>9857005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78" customFormat="1" ht="12.75" customHeight="1">
      <c r="A21" s="543" t="s">
        <v>63</v>
      </c>
      <c r="B21" s="544" t="s">
        <v>167</v>
      </c>
      <c r="C21" s="545" t="s">
        <v>168</v>
      </c>
      <c r="D21" s="546">
        <f aca="true" t="shared" si="2" ref="D21:J21">SUM(D16+D17)</f>
        <v>229645000</v>
      </c>
      <c r="E21" s="546">
        <f t="shared" si="2"/>
        <v>197812079</v>
      </c>
      <c r="F21" s="546">
        <f t="shared" si="2"/>
        <v>196544252</v>
      </c>
      <c r="G21" s="546">
        <f t="shared" si="2"/>
        <v>199107851</v>
      </c>
      <c r="H21" s="546">
        <f t="shared" si="2"/>
        <v>199107851</v>
      </c>
      <c r="I21" s="546">
        <f t="shared" si="2"/>
        <v>236668621</v>
      </c>
      <c r="J21" s="546">
        <f t="shared" si="2"/>
        <v>330561724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spans="1:252" s="78" customFormat="1" ht="12.75" customHeight="1">
      <c r="A22" s="543" t="s">
        <v>65</v>
      </c>
      <c r="B22" s="544" t="s">
        <v>169</v>
      </c>
      <c r="C22" s="547" t="s">
        <v>170</v>
      </c>
      <c r="D22" s="546">
        <f>SUM('19 önkormányzat'!E25)</f>
        <v>80000000</v>
      </c>
      <c r="E22" s="546">
        <f>SUM('19 önkormányzat'!F25)</f>
        <v>0</v>
      </c>
      <c r="F22" s="546">
        <f>SUM('19 önkormányzat'!G25)</f>
        <v>0</v>
      </c>
      <c r="G22" s="546">
        <f>SUM('19 önkormányzat'!H25)</f>
        <v>0</v>
      </c>
      <c r="H22" s="546">
        <f>SUM('19 önkormányzat'!I25)</f>
        <v>0</v>
      </c>
      <c r="I22" s="546">
        <f>SUM('19 önkormányzat'!J25)</f>
        <v>333740979</v>
      </c>
      <c r="J22" s="546">
        <f>SUM('19 önkormányzat'!K25)</f>
        <v>579188024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spans="1:252" s="78" customFormat="1" ht="12.75" customHeight="1">
      <c r="A23" s="543" t="s">
        <v>92</v>
      </c>
      <c r="B23" s="145" t="s">
        <v>176</v>
      </c>
      <c r="C23" s="294" t="s">
        <v>177</v>
      </c>
      <c r="D23" s="76">
        <f>SUM('19 önkormányzat'!E31)</f>
        <v>149880000</v>
      </c>
      <c r="E23" s="76">
        <f>SUM('19 önkormányzat'!F31)</f>
        <v>150155000</v>
      </c>
      <c r="F23" s="76">
        <f>SUM('19 önkormányzat'!G31)</f>
        <v>150155000</v>
      </c>
      <c r="G23" s="76">
        <f>SUM('19 önkormányzat'!H31)</f>
        <v>150155000</v>
      </c>
      <c r="H23" s="76">
        <f>SUM('19 önkormányzat'!I31)</f>
        <v>150155000</v>
      </c>
      <c r="I23" s="76">
        <f>SUM('19 önkormányzat'!J31)</f>
        <v>150455000</v>
      </c>
      <c r="J23" s="76">
        <f>SUM('19 önkormányzat'!K31)</f>
        <v>171345614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</row>
    <row r="24" spans="1:252" ht="12.75" customHeight="1">
      <c r="A24" s="144" t="s">
        <v>66</v>
      </c>
      <c r="B24" s="149"/>
      <c r="C24" s="489" t="s">
        <v>644</v>
      </c>
      <c r="D24" s="97">
        <f>SUM('19 önkormányzat'!E32)</f>
        <v>4671000</v>
      </c>
      <c r="E24" s="97">
        <f>SUM('19 önkormányzat'!F32)</f>
        <v>5050000</v>
      </c>
      <c r="F24" s="97">
        <f>SUM('19 önkormányzat'!G32)</f>
        <v>5050000</v>
      </c>
      <c r="G24" s="97">
        <f>SUM('19 önkormányzat'!H32)</f>
        <v>4850000</v>
      </c>
      <c r="H24" s="97">
        <f>SUM('19 önkormányzat'!I32)</f>
        <v>4850000</v>
      </c>
      <c r="I24" s="97">
        <f>SUM('19 önkormányzat'!J32)</f>
        <v>4850000</v>
      </c>
      <c r="J24" s="97">
        <v>5382544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2.75" customHeight="1">
      <c r="A25" s="144" t="s">
        <v>67</v>
      </c>
      <c r="B25" s="149"/>
      <c r="C25" s="489" t="s">
        <v>179</v>
      </c>
      <c r="D25" s="97">
        <f>SUM('19 önkormányzat'!E33)</f>
        <v>4859000</v>
      </c>
      <c r="E25" s="97">
        <f>SUM('19 önkormányzat'!F33)</f>
        <v>52000</v>
      </c>
      <c r="F25" s="97">
        <f>SUM('19 önkormányzat'!G33)</f>
        <v>2800000</v>
      </c>
      <c r="G25" s="97">
        <f>SUM('19 önkormányzat'!H33)</f>
        <v>3000000</v>
      </c>
      <c r="H25" s="97">
        <f>SUM('19 önkormányzat'!I33)</f>
        <v>3000000</v>
      </c>
      <c r="I25" s="97">
        <f>SUM('19 önkormányzat'!J33)</f>
        <v>3000000</v>
      </c>
      <c r="J25" s="97">
        <v>3652459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2.75" customHeight="1">
      <c r="A26" s="144" t="s">
        <v>68</v>
      </c>
      <c r="B26" s="149"/>
      <c r="C26" s="489" t="s">
        <v>180</v>
      </c>
      <c r="D26" s="97">
        <f>SUM('19 önkormányzat'!E34)</f>
        <v>500000</v>
      </c>
      <c r="E26" s="97">
        <f>SUM('19 önkormányzat'!F34)</f>
        <v>650000</v>
      </c>
      <c r="F26" s="97">
        <f>SUM('19 önkormányzat'!G34)</f>
        <v>650000</v>
      </c>
      <c r="G26" s="97">
        <f>SUM('19 önkormányzat'!H34)</f>
        <v>650000</v>
      </c>
      <c r="H26" s="97">
        <f>SUM('19 önkormányzat'!I34)</f>
        <v>650000</v>
      </c>
      <c r="I26" s="97">
        <f>SUM('19 önkormányzat'!J34)</f>
        <v>650000</v>
      </c>
      <c r="J26" s="97">
        <v>846660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3.5" customHeight="1">
      <c r="A27" s="144" t="s">
        <v>70</v>
      </c>
      <c r="B27" s="149"/>
      <c r="C27" s="489" t="s">
        <v>182</v>
      </c>
      <c r="D27" s="97">
        <f>SUM('19 önkormányzat'!E35)</f>
        <v>4830000</v>
      </c>
      <c r="E27" s="97">
        <f>SUM('19 önkormányzat'!F35)</f>
        <v>4900585</v>
      </c>
      <c r="F27" s="97">
        <f>SUM('19 önkormányzat'!G35)</f>
        <v>4900585</v>
      </c>
      <c r="G27" s="97">
        <f>SUM('19 önkormányzat'!H35)</f>
        <v>4900585</v>
      </c>
      <c r="H27" s="97">
        <f>SUM('19 önkormányzat'!I35)</f>
        <v>4900585</v>
      </c>
      <c r="I27" s="97">
        <f>SUM('19 önkormányzat'!J35)</f>
        <v>4735607</v>
      </c>
      <c r="J27" s="97">
        <f>SUM('19 önkormányzat'!K35)</f>
        <v>4226887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3.5" customHeight="1">
      <c r="A28" s="144" t="s">
        <v>97</v>
      </c>
      <c r="B28" s="149"/>
      <c r="C28" s="489" t="s">
        <v>797</v>
      </c>
      <c r="D28" s="97">
        <v>0</v>
      </c>
      <c r="E28" s="97">
        <v>0</v>
      </c>
      <c r="F28" s="97">
        <v>5708000</v>
      </c>
      <c r="G28" s="97">
        <v>5708000</v>
      </c>
      <c r="H28" s="97">
        <v>5708000</v>
      </c>
      <c r="I28" s="97">
        <v>5708000</v>
      </c>
      <c r="J28" s="97">
        <v>5708000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2.75" customHeight="1">
      <c r="A29" s="144" t="s">
        <v>99</v>
      </c>
      <c r="B29" s="149"/>
      <c r="C29" s="486" t="s">
        <v>655</v>
      </c>
      <c r="D29" s="97">
        <f>SUM('19 önkormányzat'!E37)</f>
        <v>40000</v>
      </c>
      <c r="E29" s="97">
        <f>SUM('19 önkormányzat'!F37)</f>
        <v>30000</v>
      </c>
      <c r="F29" s="97">
        <f>SUM('19 önkormányzat'!G37)</f>
        <v>20000</v>
      </c>
      <c r="G29" s="97">
        <f>SUM('19 önkormányzat'!H37)</f>
        <v>20000</v>
      </c>
      <c r="H29" s="97">
        <f>SUM('19 önkormányzat'!I37)</f>
        <v>20000</v>
      </c>
      <c r="I29" s="97">
        <f>SUM('19 önkormányzat'!J37)</f>
        <v>20000</v>
      </c>
      <c r="J29" s="97">
        <f>SUM('19 önkormányzat'!K37)</f>
        <v>2867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2.75" customHeight="1">
      <c r="A30" s="144" t="s">
        <v>101</v>
      </c>
      <c r="B30" s="149"/>
      <c r="C30" s="1508" t="s">
        <v>924</v>
      </c>
      <c r="D30" s="97"/>
      <c r="E30" s="97"/>
      <c r="F30" s="97"/>
      <c r="G30" s="97"/>
      <c r="H30" s="97"/>
      <c r="I30" s="97">
        <v>61230</v>
      </c>
      <c r="J30" s="97">
        <v>61230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2.75" customHeight="1">
      <c r="A31" s="144" t="s">
        <v>103</v>
      </c>
      <c r="B31" s="149"/>
      <c r="C31" s="499" t="s">
        <v>185</v>
      </c>
      <c r="D31" s="97">
        <f>SUM('19 önkormányzat'!E39)</f>
        <v>4418000</v>
      </c>
      <c r="E31" s="97">
        <f>SUM('19 önkormányzat'!F39)</f>
        <v>5700000</v>
      </c>
      <c r="F31" s="97">
        <f>SUM('19 önkormányzat'!G39)</f>
        <v>2000</v>
      </c>
      <c r="G31" s="97">
        <f>SUM('19 önkormányzat'!H39)</f>
        <v>2000</v>
      </c>
      <c r="H31" s="97">
        <f>SUM('19 önkormányzat'!I39)</f>
        <v>2000</v>
      </c>
      <c r="I31" s="97">
        <f>SUM('19 önkormányzat'!J39)</f>
        <v>2000</v>
      </c>
      <c r="J31" s="97">
        <f>SUM('19 önkormányzat'!K39)</f>
        <v>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s="78" customFormat="1" ht="12.75" customHeight="1">
      <c r="A32" s="574" t="s">
        <v>105</v>
      </c>
      <c r="B32" s="575" t="s">
        <v>186</v>
      </c>
      <c r="C32" s="1022" t="s">
        <v>221</v>
      </c>
      <c r="D32" s="577">
        <f aca="true" t="shared" si="3" ref="D32:J32">SUM(D24:D31)</f>
        <v>19318000</v>
      </c>
      <c r="E32" s="102">
        <f t="shared" si="3"/>
        <v>16382585</v>
      </c>
      <c r="F32" s="102">
        <f t="shared" si="3"/>
        <v>19130585</v>
      </c>
      <c r="G32" s="102">
        <f t="shared" si="3"/>
        <v>19130585</v>
      </c>
      <c r="H32" s="102">
        <f t="shared" si="3"/>
        <v>19130585</v>
      </c>
      <c r="I32" s="102">
        <f t="shared" si="3"/>
        <v>19026837</v>
      </c>
      <c r="J32" s="102">
        <f t="shared" si="3"/>
        <v>19880656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spans="1:256" s="12" customFormat="1" ht="12.75" customHeight="1">
      <c r="A33" s="723" t="s">
        <v>107</v>
      </c>
      <c r="B33" s="723" t="s">
        <v>187</v>
      </c>
      <c r="C33" s="1001" t="s">
        <v>13</v>
      </c>
      <c r="D33" s="662">
        <f>SUM('19 önkormányzat'!E41)</f>
        <v>41468000</v>
      </c>
      <c r="E33" s="662">
        <f>SUM('19 önkormányzat'!F41)</f>
        <v>40639830</v>
      </c>
      <c r="F33" s="662">
        <f>SUM('19 önkormányzat'!G41)</f>
        <v>40639830</v>
      </c>
      <c r="G33" s="662">
        <f>SUM('19 önkormányzat'!H41)</f>
        <v>40639830</v>
      </c>
      <c r="H33" s="662">
        <f>SUM('19 önkormányzat'!I41)</f>
        <v>40639830</v>
      </c>
      <c r="I33" s="662">
        <f>SUM('19 önkormányzat'!J41)</f>
        <v>35985235</v>
      </c>
      <c r="J33" s="662">
        <f>SUM('19 önkormányzat'!K41)</f>
        <v>9136370</v>
      </c>
      <c r="IS33" s="78"/>
      <c r="IT33" s="78"/>
      <c r="IU33" s="78"/>
      <c r="IV33" s="78"/>
    </row>
    <row r="34" spans="1:256" s="12" customFormat="1" ht="12.75" customHeight="1">
      <c r="A34" s="723" t="s">
        <v>109</v>
      </c>
      <c r="B34" s="723" t="s">
        <v>188</v>
      </c>
      <c r="C34" s="1001" t="s">
        <v>189</v>
      </c>
      <c r="D34" s="662">
        <f>SUM('19 önkormányzat'!E44)</f>
        <v>907000</v>
      </c>
      <c r="E34" s="662">
        <f>SUM('19 önkormányzat'!F44)</f>
        <v>0</v>
      </c>
      <c r="F34" s="662">
        <f>SUM('19 önkormányzat'!G44)</f>
        <v>200000</v>
      </c>
      <c r="G34" s="662">
        <f>SUM('19 önkormányzat'!H44)</f>
        <v>685800</v>
      </c>
      <c r="H34" s="662">
        <f>SUM('19 önkormányzat'!I44)</f>
        <v>685800</v>
      </c>
      <c r="I34" s="662">
        <f>SUM('19 önkormányzat'!J44)</f>
        <v>1048138</v>
      </c>
      <c r="J34" s="662">
        <f>SUM('19 önkormányzat'!K44)</f>
        <v>1320741</v>
      </c>
      <c r="IS34" s="78"/>
      <c r="IT34" s="78"/>
      <c r="IU34" s="78"/>
      <c r="IV34" s="78"/>
    </row>
    <row r="35" spans="1:252" s="78" customFormat="1" ht="12.75" customHeight="1">
      <c r="A35" s="1023" t="s">
        <v>111</v>
      </c>
      <c r="B35" s="1024" t="s">
        <v>190</v>
      </c>
      <c r="C35" s="1025" t="s">
        <v>230</v>
      </c>
      <c r="D35" s="662">
        <f>SUM('19 önkormányzat'!E47)</f>
        <v>1273000</v>
      </c>
      <c r="E35" s="662">
        <f>SUM('19 önkormányzat'!F47)</f>
        <v>0</v>
      </c>
      <c r="F35" s="662">
        <f>SUM('19 önkormányzat'!G47)</f>
        <v>0</v>
      </c>
      <c r="G35" s="662">
        <f>SUM('19 önkormányzat'!H47)</f>
        <v>0</v>
      </c>
      <c r="H35" s="662">
        <f>SUM('19 önkormányzat'!I47)</f>
        <v>0</v>
      </c>
      <c r="I35" s="662">
        <f>SUM('19 önkormányzat'!J47)</f>
        <v>0</v>
      </c>
      <c r="J35" s="662">
        <f>SUM('19 önkormányzat'!K47)</f>
        <v>0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spans="1:252" ht="12.75" customHeight="1">
      <c r="A36" s="144" t="s">
        <v>113</v>
      </c>
      <c r="B36" s="539"/>
      <c r="C36" s="531" t="s">
        <v>672</v>
      </c>
      <c r="D36" s="419">
        <v>80000000</v>
      </c>
      <c r="E36" s="97"/>
      <c r="F36" s="97"/>
      <c r="G36" s="97"/>
      <c r="H36" s="97"/>
      <c r="I36" s="97"/>
      <c r="J36" s="97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6" s="467" customFormat="1" ht="26.25" customHeight="1">
      <c r="A37" s="552" t="s">
        <v>115</v>
      </c>
      <c r="B37" s="553"/>
      <c r="C37" s="1026" t="s">
        <v>670</v>
      </c>
      <c r="D37" s="554"/>
      <c r="E37" s="555"/>
      <c r="F37" s="555"/>
      <c r="G37" s="555"/>
      <c r="H37" s="555"/>
      <c r="I37" s="555"/>
      <c r="J37" s="555"/>
      <c r="IS37" s="550"/>
      <c r="IT37" s="550"/>
      <c r="IU37" s="550"/>
      <c r="IV37" s="550"/>
    </row>
    <row r="38" spans="1:252" ht="12.75" customHeight="1">
      <c r="A38" s="144" t="s">
        <v>117</v>
      </c>
      <c r="B38" s="539"/>
      <c r="C38" s="526" t="s">
        <v>671</v>
      </c>
      <c r="D38" s="419">
        <f aca="true" t="shared" si="4" ref="D38:I38">SUM(D36:D37)</f>
        <v>80000000</v>
      </c>
      <c r="E38" s="419">
        <f t="shared" si="4"/>
        <v>0</v>
      </c>
      <c r="F38" s="419">
        <f t="shared" si="4"/>
        <v>0</v>
      </c>
      <c r="G38" s="419">
        <f t="shared" si="4"/>
        <v>0</v>
      </c>
      <c r="H38" s="419">
        <f t="shared" si="4"/>
        <v>0</v>
      </c>
      <c r="I38" s="419">
        <f t="shared" si="4"/>
        <v>0</v>
      </c>
      <c r="J38" s="419">
        <f>SUM(J36:J37)</f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2.75" customHeight="1">
      <c r="A39" s="144" t="s">
        <v>118</v>
      </c>
      <c r="B39" s="539"/>
      <c r="C39" s="526" t="s">
        <v>225</v>
      </c>
      <c r="D39" s="419">
        <v>51066000</v>
      </c>
      <c r="E39" s="97">
        <v>45816229</v>
      </c>
      <c r="F39" s="97">
        <v>46294271</v>
      </c>
      <c r="G39" s="97">
        <v>46294271</v>
      </c>
      <c r="H39" s="97">
        <v>46294271</v>
      </c>
      <c r="I39" s="97">
        <v>46294271</v>
      </c>
      <c r="J39" s="97">
        <v>46294271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2.75" customHeight="1">
      <c r="A40" s="144" t="s">
        <v>120</v>
      </c>
      <c r="B40" s="539"/>
      <c r="C40" s="516" t="s">
        <v>228</v>
      </c>
      <c r="D40" s="419">
        <v>4153000</v>
      </c>
      <c r="E40" s="97">
        <v>6401277</v>
      </c>
      <c r="F40" s="97">
        <v>7745538</v>
      </c>
      <c r="G40" s="97">
        <v>8502671</v>
      </c>
      <c r="H40" s="97">
        <v>8502671</v>
      </c>
      <c r="I40" s="97">
        <v>9473678</v>
      </c>
      <c r="J40" s="97">
        <v>10623632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s="78" customFormat="1" ht="12.75" customHeight="1" thickBot="1">
      <c r="A41" s="574" t="s">
        <v>122</v>
      </c>
      <c r="B41" s="575" t="s">
        <v>193</v>
      </c>
      <c r="C41" s="576" t="s">
        <v>673</v>
      </c>
      <c r="D41" s="577">
        <f aca="true" t="shared" si="5" ref="D41:I41">SUM(D38:D40)</f>
        <v>135219000</v>
      </c>
      <c r="E41" s="577">
        <f t="shared" si="5"/>
        <v>52217506</v>
      </c>
      <c r="F41" s="577">
        <f t="shared" si="5"/>
        <v>54039809</v>
      </c>
      <c r="G41" s="577">
        <f t="shared" si="5"/>
        <v>54796942</v>
      </c>
      <c r="H41" s="577">
        <f t="shared" si="5"/>
        <v>54796942</v>
      </c>
      <c r="I41" s="577">
        <f t="shared" si="5"/>
        <v>55767949</v>
      </c>
      <c r="J41" s="577">
        <f>SUM(J38:J40)</f>
        <v>56917903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</row>
    <row r="42" spans="1:252" s="177" customFormat="1" ht="17.25" customHeight="1" thickBot="1">
      <c r="A42" s="578" t="s">
        <v>124</v>
      </c>
      <c r="B42" s="579"/>
      <c r="C42" s="580" t="s">
        <v>244</v>
      </c>
      <c r="D42" s="581">
        <f>SUM(D21+D22+D23+D32+D33+D35+D41)+D34</f>
        <v>657710000</v>
      </c>
      <c r="E42" s="582">
        <f>SUM(E21+E22+E23+E32+E33+E35+E41)</f>
        <v>457207000</v>
      </c>
      <c r="F42" s="582">
        <f>SUM(F21+F22+F23+F32+F33+F35+F41)+F34</f>
        <v>460709476</v>
      </c>
      <c r="G42" s="582">
        <f>SUM(G21+G22+G23+G32+G33+G35+G41)+G34</f>
        <v>464516008</v>
      </c>
      <c r="H42" s="582">
        <f>SUM(H21+H22+H23+H32+H33+H35+H41)+H34</f>
        <v>464516008</v>
      </c>
      <c r="I42" s="582">
        <f>SUM(I21+I22+I23+I32+I33+I35+I41)+I34</f>
        <v>832692759</v>
      </c>
      <c r="J42" s="582">
        <f>SUM(J21+J22+J23+J32+J33+J35+J41)+J34</f>
        <v>1168351032</v>
      </c>
      <c r="K42" s="551"/>
      <c r="L42" s="551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551"/>
      <c r="BB42" s="551"/>
      <c r="BC42" s="551"/>
      <c r="BD42" s="551"/>
      <c r="BE42" s="551"/>
      <c r="BF42" s="551"/>
      <c r="BG42" s="551"/>
      <c r="BH42" s="551"/>
      <c r="BI42" s="551"/>
      <c r="BJ42" s="551"/>
      <c r="BK42" s="551"/>
      <c r="BL42" s="551"/>
      <c r="BM42" s="551"/>
      <c r="BN42" s="551"/>
      <c r="BO42" s="551"/>
      <c r="BP42" s="551"/>
      <c r="BQ42" s="551"/>
      <c r="BR42" s="551"/>
      <c r="BS42" s="551"/>
      <c r="BT42" s="551"/>
      <c r="BU42" s="551"/>
      <c r="BV42" s="551"/>
      <c r="BW42" s="551"/>
      <c r="BX42" s="551"/>
      <c r="BY42" s="551"/>
      <c r="BZ42" s="551"/>
      <c r="CA42" s="551"/>
      <c r="CB42" s="551"/>
      <c r="CC42" s="551"/>
      <c r="CD42" s="551"/>
      <c r="CE42" s="551"/>
      <c r="CF42" s="551"/>
      <c r="CG42" s="551"/>
      <c r="CH42" s="551"/>
      <c r="CI42" s="551"/>
      <c r="CJ42" s="551"/>
      <c r="CK42" s="551"/>
      <c r="CL42" s="551"/>
      <c r="CM42" s="551"/>
      <c r="CN42" s="551"/>
      <c r="CO42" s="551"/>
      <c r="CP42" s="551"/>
      <c r="CQ42" s="551"/>
      <c r="CR42" s="551"/>
      <c r="CS42" s="551"/>
      <c r="CT42" s="551"/>
      <c r="CU42" s="551"/>
      <c r="CV42" s="551"/>
      <c r="CW42" s="551"/>
      <c r="CX42" s="551"/>
      <c r="CY42" s="551"/>
      <c r="CZ42" s="551"/>
      <c r="DA42" s="551"/>
      <c r="DB42" s="551"/>
      <c r="DC42" s="551"/>
      <c r="DD42" s="551"/>
      <c r="DE42" s="551"/>
      <c r="DF42" s="551"/>
      <c r="DG42" s="551"/>
      <c r="DH42" s="551"/>
      <c r="DI42" s="551"/>
      <c r="DJ42" s="551"/>
      <c r="DK42" s="551"/>
      <c r="DL42" s="551"/>
      <c r="DM42" s="551"/>
      <c r="DN42" s="551"/>
      <c r="DO42" s="551"/>
      <c r="DP42" s="551"/>
      <c r="DQ42" s="551"/>
      <c r="DR42" s="551"/>
      <c r="DS42" s="551"/>
      <c r="DT42" s="551"/>
      <c r="DU42" s="551"/>
      <c r="DV42" s="551"/>
      <c r="DW42" s="551"/>
      <c r="DX42" s="551"/>
      <c r="DY42" s="551"/>
      <c r="DZ42" s="551"/>
      <c r="EA42" s="551"/>
      <c r="EB42" s="551"/>
      <c r="EC42" s="551"/>
      <c r="ED42" s="551"/>
      <c r="EE42" s="551"/>
      <c r="EF42" s="551"/>
      <c r="EG42" s="551"/>
      <c r="EH42" s="551"/>
      <c r="EI42" s="551"/>
      <c r="EJ42" s="551"/>
      <c r="EK42" s="551"/>
      <c r="EL42" s="551"/>
      <c r="EM42" s="551"/>
      <c r="EN42" s="551"/>
      <c r="EO42" s="551"/>
      <c r="EP42" s="551"/>
      <c r="EQ42" s="551"/>
      <c r="ER42" s="551"/>
      <c r="ES42" s="551"/>
      <c r="ET42" s="551"/>
      <c r="EU42" s="551"/>
      <c r="EV42" s="551"/>
      <c r="EW42" s="551"/>
      <c r="EX42" s="551"/>
      <c r="EY42" s="551"/>
      <c r="EZ42" s="551"/>
      <c r="FA42" s="551"/>
      <c r="FB42" s="551"/>
      <c r="FC42" s="551"/>
      <c r="FD42" s="551"/>
      <c r="FE42" s="551"/>
      <c r="FF42" s="551"/>
      <c r="FG42" s="551"/>
      <c r="FH42" s="551"/>
      <c r="FI42" s="551"/>
      <c r="FJ42" s="551"/>
      <c r="FK42" s="551"/>
      <c r="FL42" s="551"/>
      <c r="FM42" s="551"/>
      <c r="FN42" s="551"/>
      <c r="FO42" s="551"/>
      <c r="FP42" s="551"/>
      <c r="FQ42" s="551"/>
      <c r="FR42" s="551"/>
      <c r="FS42" s="551"/>
      <c r="FT42" s="551"/>
      <c r="FU42" s="551"/>
      <c r="FV42" s="551"/>
      <c r="FW42" s="551"/>
      <c r="FX42" s="551"/>
      <c r="FY42" s="551"/>
      <c r="FZ42" s="551"/>
      <c r="GA42" s="551"/>
      <c r="GB42" s="551"/>
      <c r="GC42" s="551"/>
      <c r="GD42" s="551"/>
      <c r="GE42" s="551"/>
      <c r="GF42" s="551"/>
      <c r="GG42" s="551"/>
      <c r="GH42" s="551"/>
      <c r="GI42" s="551"/>
      <c r="GJ42" s="551"/>
      <c r="GK42" s="551"/>
      <c r="GL42" s="551"/>
      <c r="GM42" s="551"/>
      <c r="GN42" s="551"/>
      <c r="GO42" s="551"/>
      <c r="GP42" s="551"/>
      <c r="GQ42" s="551"/>
      <c r="GR42" s="551"/>
      <c r="GS42" s="551"/>
      <c r="GT42" s="551"/>
      <c r="GU42" s="551"/>
      <c r="GV42" s="551"/>
      <c r="GW42" s="551"/>
      <c r="GX42" s="551"/>
      <c r="GY42" s="551"/>
      <c r="GZ42" s="551"/>
      <c r="HA42" s="551"/>
      <c r="HB42" s="551"/>
      <c r="HC42" s="551"/>
      <c r="HD42" s="551"/>
      <c r="HE42" s="551"/>
      <c r="HF42" s="551"/>
      <c r="HG42" s="551"/>
      <c r="HH42" s="551"/>
      <c r="HI42" s="551"/>
      <c r="HJ42" s="551"/>
      <c r="HK42" s="551"/>
      <c r="HL42" s="551"/>
      <c r="HM42" s="551"/>
      <c r="HN42" s="551"/>
      <c r="HO42" s="551"/>
      <c r="HP42" s="551"/>
      <c r="HQ42" s="551"/>
      <c r="HR42" s="551"/>
      <c r="HS42" s="551"/>
      <c r="HT42" s="551"/>
      <c r="HU42" s="551"/>
      <c r="HV42" s="551"/>
      <c r="HW42" s="551"/>
      <c r="HX42" s="551"/>
      <c r="HY42" s="551"/>
      <c r="HZ42" s="551"/>
      <c r="IA42" s="551"/>
      <c r="IB42" s="551"/>
      <c r="IC42" s="551"/>
      <c r="ID42" s="551"/>
      <c r="IE42" s="551"/>
      <c r="IF42" s="551"/>
      <c r="IG42" s="551"/>
      <c r="IH42" s="551"/>
      <c r="II42" s="551"/>
      <c r="IJ42" s="551"/>
      <c r="IK42" s="551"/>
      <c r="IL42" s="551"/>
      <c r="IM42" s="551"/>
      <c r="IN42" s="551"/>
      <c r="IO42" s="551"/>
      <c r="IP42" s="551"/>
      <c r="IQ42" s="551"/>
      <c r="IR42" s="551"/>
    </row>
    <row r="43" spans="1:252" ht="12.75" customHeight="1" thickBot="1">
      <c r="A43" s="1694" t="s">
        <v>327</v>
      </c>
      <c r="B43" s="1694"/>
      <c r="C43" s="1694"/>
      <c r="D43" s="15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5.5" customHeight="1">
      <c r="A44" s="1699" t="s">
        <v>156</v>
      </c>
      <c r="B44" s="1700"/>
      <c r="C44" s="508" t="s">
        <v>157</v>
      </c>
      <c r="D44" s="569" t="s">
        <v>241</v>
      </c>
      <c r="E44" s="570" t="s">
        <v>159</v>
      </c>
      <c r="F44" s="570" t="s">
        <v>793</v>
      </c>
      <c r="G44" s="570" t="s">
        <v>803</v>
      </c>
      <c r="H44" s="570" t="s">
        <v>885</v>
      </c>
      <c r="I44" s="570" t="s">
        <v>891</v>
      </c>
      <c r="J44" s="570" t="s">
        <v>947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2.75" customHeight="1" thickBot="1">
      <c r="A45" s="1701"/>
      <c r="B45" s="1702"/>
      <c r="C45" s="511" t="s">
        <v>161</v>
      </c>
      <c r="D45" s="585" t="s">
        <v>162</v>
      </c>
      <c r="E45" s="586" t="s">
        <v>163</v>
      </c>
      <c r="F45" s="586" t="s">
        <v>164</v>
      </c>
      <c r="G45" s="586" t="s">
        <v>505</v>
      </c>
      <c r="H45" s="586" t="s">
        <v>525</v>
      </c>
      <c r="I45" s="586" t="s">
        <v>804</v>
      </c>
      <c r="J45" s="586" t="s">
        <v>890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30" customHeight="1">
      <c r="A46" s="156" t="s">
        <v>38</v>
      </c>
      <c r="B46" s="149"/>
      <c r="C46" s="535" t="s">
        <v>674</v>
      </c>
      <c r="D46" s="97">
        <v>951000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s="78" customFormat="1" ht="12.75" customHeight="1">
      <c r="A47" s="157" t="s">
        <v>40</v>
      </c>
      <c r="B47" s="145" t="s">
        <v>167</v>
      </c>
      <c r="C47" s="545" t="s">
        <v>168</v>
      </c>
      <c r="D47" s="76">
        <f aca="true" t="shared" si="6" ref="D47:I47">SUM(D46:D46)</f>
        <v>951000</v>
      </c>
      <c r="E47" s="76">
        <f t="shared" si="6"/>
        <v>0</v>
      </c>
      <c r="F47" s="76">
        <f t="shared" si="6"/>
        <v>0</v>
      </c>
      <c r="G47" s="76">
        <f t="shared" si="6"/>
        <v>0</v>
      </c>
      <c r="H47" s="76">
        <f t="shared" si="6"/>
        <v>0</v>
      </c>
      <c r="I47" s="76">
        <f t="shared" si="6"/>
        <v>0</v>
      </c>
      <c r="J47" s="76">
        <f>SUM(J46:J46)</f>
        <v>0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spans="1:252" ht="12.75" customHeight="1">
      <c r="A48" s="156" t="s">
        <v>47</v>
      </c>
      <c r="B48" s="149"/>
      <c r="C48" s="489" t="s">
        <v>644</v>
      </c>
      <c r="D48" s="97">
        <f>SUM('17. Hivatal'!E11)</f>
        <v>0</v>
      </c>
      <c r="E48" s="97">
        <f>SUM('17. Hivatal'!F11)</f>
        <v>0</v>
      </c>
      <c r="F48" s="97">
        <f>SUM('17. Hivatal'!G11)</f>
        <v>0</v>
      </c>
      <c r="G48" s="97">
        <f>SUM('17. Hivatal'!H11)</f>
        <v>50000</v>
      </c>
      <c r="H48" s="97">
        <f>SUM('17. Hivatal'!I11)</f>
        <v>50000</v>
      </c>
      <c r="I48" s="97">
        <f>SUM('17. Hivatal'!J11)</f>
        <v>50000</v>
      </c>
      <c r="J48" s="97">
        <f>SUM('17. Hivatal'!K11)</f>
        <v>16000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2.75" customHeight="1">
      <c r="A49" s="156" t="s">
        <v>49</v>
      </c>
      <c r="B49" s="149"/>
      <c r="C49" s="489" t="s">
        <v>179</v>
      </c>
      <c r="D49" s="97">
        <f>SUM('17. Hivatal'!E12)</f>
        <v>796000</v>
      </c>
      <c r="E49" s="97">
        <f>SUM('17. Hivatal'!F12)</f>
        <v>380000</v>
      </c>
      <c r="F49" s="97">
        <f>SUM('17. Hivatal'!G12)</f>
        <v>380000</v>
      </c>
      <c r="G49" s="97">
        <f>SUM('17. Hivatal'!H12)</f>
        <v>330000</v>
      </c>
      <c r="H49" s="97">
        <f>SUM('17. Hivatal'!I12)</f>
        <v>330000</v>
      </c>
      <c r="I49" s="97">
        <f>SUM('17. Hivatal'!J12)</f>
        <v>330000</v>
      </c>
      <c r="J49" s="97">
        <f>SUM('17. Hivatal'!K12)</f>
        <v>353990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2.75" customHeight="1">
      <c r="A50" s="562" t="s">
        <v>51</v>
      </c>
      <c r="B50" s="149"/>
      <c r="C50" s="489" t="s">
        <v>180</v>
      </c>
      <c r="D50" s="97"/>
      <c r="E50" s="97"/>
      <c r="F50" s="97"/>
      <c r="G50" s="97"/>
      <c r="H50" s="97"/>
      <c r="I50" s="97"/>
      <c r="J50" s="97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12.75" customHeight="1">
      <c r="A51" s="534" t="s">
        <v>53</v>
      </c>
      <c r="B51" s="185"/>
      <c r="C51" s="489" t="s">
        <v>182</v>
      </c>
      <c r="D51" s="97"/>
      <c r="E51" s="97">
        <v>100369</v>
      </c>
      <c r="F51" s="97">
        <v>100369</v>
      </c>
      <c r="G51" s="97">
        <v>100369</v>
      </c>
      <c r="H51" s="97">
        <v>100369</v>
      </c>
      <c r="I51" s="97">
        <v>100369</v>
      </c>
      <c r="J51" s="97">
        <v>93841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12.75" customHeight="1">
      <c r="A52" s="534" t="s">
        <v>55</v>
      </c>
      <c r="B52" s="185"/>
      <c r="C52" s="486" t="s">
        <v>655</v>
      </c>
      <c r="D52" s="97"/>
      <c r="E52" s="97"/>
      <c r="F52" s="97"/>
      <c r="G52" s="97"/>
      <c r="H52" s="97"/>
      <c r="I52" s="97"/>
      <c r="J52" s="97">
        <v>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12.75" customHeight="1">
      <c r="A53" s="534" t="s">
        <v>57</v>
      </c>
      <c r="B53" s="185"/>
      <c r="C53" s="499" t="s">
        <v>185</v>
      </c>
      <c r="D53" s="97"/>
      <c r="E53" s="97"/>
      <c r="F53" s="97"/>
      <c r="G53" s="97"/>
      <c r="H53" s="97"/>
      <c r="I53" s="97"/>
      <c r="J53" s="97">
        <v>594000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s="78" customFormat="1" ht="12.75" customHeight="1">
      <c r="A54" s="559" t="s">
        <v>86</v>
      </c>
      <c r="B54" s="178" t="s">
        <v>169</v>
      </c>
      <c r="C54" s="548" t="s">
        <v>221</v>
      </c>
      <c r="D54" s="546">
        <f aca="true" t="shared" si="7" ref="D54:I54">SUM(D48:D53)</f>
        <v>796000</v>
      </c>
      <c r="E54" s="546">
        <f t="shared" si="7"/>
        <v>480369</v>
      </c>
      <c r="F54" s="546">
        <f t="shared" si="7"/>
        <v>480369</v>
      </c>
      <c r="G54" s="546">
        <f t="shared" si="7"/>
        <v>480369</v>
      </c>
      <c r="H54" s="546">
        <f t="shared" si="7"/>
        <v>480369</v>
      </c>
      <c r="I54" s="546">
        <f t="shared" si="7"/>
        <v>480369</v>
      </c>
      <c r="J54" s="546">
        <f>SUM(J48:J53)</f>
        <v>1057836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spans="1:252" ht="12.75" customHeight="1">
      <c r="A55" s="534" t="s">
        <v>59</v>
      </c>
      <c r="B55" s="181"/>
      <c r="C55" s="563" t="s">
        <v>225</v>
      </c>
      <c r="D55" s="419">
        <v>2407000</v>
      </c>
      <c r="E55" s="97">
        <v>1959631</v>
      </c>
      <c r="F55" s="97">
        <v>1959631</v>
      </c>
      <c r="G55" s="97">
        <v>1959631</v>
      </c>
      <c r="H55" s="97">
        <v>1959631</v>
      </c>
      <c r="I55" s="97">
        <v>1959631</v>
      </c>
      <c r="J55" s="97">
        <v>1959631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2.75" customHeight="1">
      <c r="A56" s="534" t="s">
        <v>61</v>
      </c>
      <c r="B56" s="181"/>
      <c r="C56" s="563" t="s">
        <v>779</v>
      </c>
      <c r="D56" s="419">
        <v>57819000</v>
      </c>
      <c r="E56" s="419">
        <v>60171959</v>
      </c>
      <c r="F56" s="419">
        <v>60171959</v>
      </c>
      <c r="G56" s="419">
        <v>60188469</v>
      </c>
      <c r="H56" s="419">
        <v>60188469</v>
      </c>
      <c r="I56" s="419">
        <v>60188469</v>
      </c>
      <c r="J56" s="419">
        <v>60171959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2.75" customHeight="1">
      <c r="A57" s="534" t="s">
        <v>63</v>
      </c>
      <c r="B57" s="181"/>
      <c r="C57" s="563" t="s">
        <v>675</v>
      </c>
      <c r="D57" s="419">
        <v>14929000</v>
      </c>
      <c r="E57" s="419">
        <v>24091041</v>
      </c>
      <c r="F57" s="419">
        <v>24091041</v>
      </c>
      <c r="G57" s="419">
        <v>24091041</v>
      </c>
      <c r="H57" s="419">
        <v>24091041</v>
      </c>
      <c r="I57" s="419">
        <v>24091041</v>
      </c>
      <c r="J57" s="419">
        <v>17251023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s="78" customFormat="1" ht="12.75" customHeight="1" thickBot="1">
      <c r="A58" s="602" t="s">
        <v>65</v>
      </c>
      <c r="B58" s="603" t="s">
        <v>176</v>
      </c>
      <c r="C58" s="576" t="s">
        <v>673</v>
      </c>
      <c r="D58" s="577">
        <f aca="true" t="shared" si="8" ref="D58:I58">SUM(D55:D57)</f>
        <v>75155000</v>
      </c>
      <c r="E58" s="577">
        <f t="shared" si="8"/>
        <v>86222631</v>
      </c>
      <c r="F58" s="577">
        <f t="shared" si="8"/>
        <v>86222631</v>
      </c>
      <c r="G58" s="577">
        <f t="shared" si="8"/>
        <v>86239141</v>
      </c>
      <c r="H58" s="577">
        <f t="shared" si="8"/>
        <v>86239141</v>
      </c>
      <c r="I58" s="577">
        <f t="shared" si="8"/>
        <v>86239141</v>
      </c>
      <c r="J58" s="577">
        <f>SUM(J55:J57)</f>
        <v>79382613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</row>
    <row r="59" spans="1:252" s="177" customFormat="1" ht="20.25" customHeight="1" thickBot="1">
      <c r="A59" s="578" t="s">
        <v>92</v>
      </c>
      <c r="B59" s="579"/>
      <c r="C59" s="580" t="s">
        <v>246</v>
      </c>
      <c r="D59" s="581">
        <f aca="true" t="shared" si="9" ref="D59:I59">SUM(D58,D54,D47)</f>
        <v>76902000</v>
      </c>
      <c r="E59" s="582">
        <f t="shared" si="9"/>
        <v>86703000</v>
      </c>
      <c r="F59" s="582">
        <f t="shared" si="9"/>
        <v>86703000</v>
      </c>
      <c r="G59" s="582">
        <f t="shared" si="9"/>
        <v>86719510</v>
      </c>
      <c r="H59" s="582">
        <f t="shared" si="9"/>
        <v>86719510</v>
      </c>
      <c r="I59" s="582">
        <f t="shared" si="9"/>
        <v>86719510</v>
      </c>
      <c r="J59" s="582">
        <f>SUM(J58,J54,J47)</f>
        <v>80440449</v>
      </c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1"/>
      <c r="AU59" s="551"/>
      <c r="AV59" s="551"/>
      <c r="AW59" s="551"/>
      <c r="AX59" s="551"/>
      <c r="AY59" s="551"/>
      <c r="AZ59" s="551"/>
      <c r="BA59" s="551"/>
      <c r="BB59" s="551"/>
      <c r="BC59" s="551"/>
      <c r="BD59" s="551"/>
      <c r="BE59" s="551"/>
      <c r="BF59" s="551"/>
      <c r="BG59" s="551"/>
      <c r="BH59" s="551"/>
      <c r="BI59" s="551"/>
      <c r="BJ59" s="551"/>
      <c r="BK59" s="551"/>
      <c r="BL59" s="551"/>
      <c r="BM59" s="551"/>
      <c r="BN59" s="551"/>
      <c r="BO59" s="551"/>
      <c r="BP59" s="551"/>
      <c r="BQ59" s="551"/>
      <c r="BR59" s="551"/>
      <c r="BS59" s="551"/>
      <c r="BT59" s="551"/>
      <c r="BU59" s="551"/>
      <c r="BV59" s="551"/>
      <c r="BW59" s="551"/>
      <c r="BX59" s="551"/>
      <c r="BY59" s="551"/>
      <c r="BZ59" s="551"/>
      <c r="CA59" s="551"/>
      <c r="CB59" s="551"/>
      <c r="CC59" s="551"/>
      <c r="CD59" s="551"/>
      <c r="CE59" s="551"/>
      <c r="CF59" s="551"/>
      <c r="CG59" s="551"/>
      <c r="CH59" s="551"/>
      <c r="CI59" s="551"/>
      <c r="CJ59" s="551"/>
      <c r="CK59" s="551"/>
      <c r="CL59" s="551"/>
      <c r="CM59" s="551"/>
      <c r="CN59" s="551"/>
      <c r="CO59" s="551"/>
      <c r="CP59" s="551"/>
      <c r="CQ59" s="551"/>
      <c r="CR59" s="551"/>
      <c r="CS59" s="551"/>
      <c r="CT59" s="551"/>
      <c r="CU59" s="551"/>
      <c r="CV59" s="551"/>
      <c r="CW59" s="551"/>
      <c r="CX59" s="551"/>
      <c r="CY59" s="551"/>
      <c r="CZ59" s="551"/>
      <c r="DA59" s="551"/>
      <c r="DB59" s="551"/>
      <c r="DC59" s="551"/>
      <c r="DD59" s="551"/>
      <c r="DE59" s="551"/>
      <c r="DF59" s="551"/>
      <c r="DG59" s="551"/>
      <c r="DH59" s="551"/>
      <c r="DI59" s="551"/>
      <c r="DJ59" s="551"/>
      <c r="DK59" s="551"/>
      <c r="DL59" s="551"/>
      <c r="DM59" s="551"/>
      <c r="DN59" s="551"/>
      <c r="DO59" s="551"/>
      <c r="DP59" s="551"/>
      <c r="DQ59" s="551"/>
      <c r="DR59" s="551"/>
      <c r="DS59" s="551"/>
      <c r="DT59" s="551"/>
      <c r="DU59" s="551"/>
      <c r="DV59" s="551"/>
      <c r="DW59" s="551"/>
      <c r="DX59" s="551"/>
      <c r="DY59" s="551"/>
      <c r="DZ59" s="551"/>
      <c r="EA59" s="551"/>
      <c r="EB59" s="551"/>
      <c r="EC59" s="551"/>
      <c r="ED59" s="551"/>
      <c r="EE59" s="551"/>
      <c r="EF59" s="551"/>
      <c r="EG59" s="551"/>
      <c r="EH59" s="551"/>
      <c r="EI59" s="551"/>
      <c r="EJ59" s="551"/>
      <c r="EK59" s="551"/>
      <c r="EL59" s="551"/>
      <c r="EM59" s="551"/>
      <c r="EN59" s="551"/>
      <c r="EO59" s="551"/>
      <c r="EP59" s="551"/>
      <c r="EQ59" s="551"/>
      <c r="ER59" s="551"/>
      <c r="ES59" s="551"/>
      <c r="ET59" s="551"/>
      <c r="EU59" s="551"/>
      <c r="EV59" s="551"/>
      <c r="EW59" s="551"/>
      <c r="EX59" s="551"/>
      <c r="EY59" s="551"/>
      <c r="EZ59" s="551"/>
      <c r="FA59" s="551"/>
      <c r="FB59" s="551"/>
      <c r="FC59" s="551"/>
      <c r="FD59" s="551"/>
      <c r="FE59" s="551"/>
      <c r="FF59" s="551"/>
      <c r="FG59" s="551"/>
      <c r="FH59" s="551"/>
      <c r="FI59" s="551"/>
      <c r="FJ59" s="551"/>
      <c r="FK59" s="551"/>
      <c r="FL59" s="551"/>
      <c r="FM59" s="551"/>
      <c r="FN59" s="551"/>
      <c r="FO59" s="551"/>
      <c r="FP59" s="551"/>
      <c r="FQ59" s="551"/>
      <c r="FR59" s="551"/>
      <c r="FS59" s="551"/>
      <c r="FT59" s="551"/>
      <c r="FU59" s="551"/>
      <c r="FV59" s="551"/>
      <c r="FW59" s="551"/>
      <c r="FX59" s="551"/>
      <c r="FY59" s="551"/>
      <c r="FZ59" s="551"/>
      <c r="GA59" s="551"/>
      <c r="GB59" s="551"/>
      <c r="GC59" s="551"/>
      <c r="GD59" s="551"/>
      <c r="GE59" s="551"/>
      <c r="GF59" s="551"/>
      <c r="GG59" s="551"/>
      <c r="GH59" s="551"/>
      <c r="GI59" s="551"/>
      <c r="GJ59" s="551"/>
      <c r="GK59" s="551"/>
      <c r="GL59" s="551"/>
      <c r="GM59" s="551"/>
      <c r="GN59" s="551"/>
      <c r="GO59" s="551"/>
      <c r="GP59" s="551"/>
      <c r="GQ59" s="551"/>
      <c r="GR59" s="551"/>
      <c r="GS59" s="551"/>
      <c r="GT59" s="551"/>
      <c r="GU59" s="551"/>
      <c r="GV59" s="551"/>
      <c r="GW59" s="551"/>
      <c r="GX59" s="551"/>
      <c r="GY59" s="551"/>
      <c r="GZ59" s="551"/>
      <c r="HA59" s="551"/>
      <c r="HB59" s="551"/>
      <c r="HC59" s="551"/>
      <c r="HD59" s="551"/>
      <c r="HE59" s="551"/>
      <c r="HF59" s="551"/>
      <c r="HG59" s="551"/>
      <c r="HH59" s="551"/>
      <c r="HI59" s="551"/>
      <c r="HJ59" s="551"/>
      <c r="HK59" s="551"/>
      <c r="HL59" s="551"/>
      <c r="HM59" s="551"/>
      <c r="HN59" s="551"/>
      <c r="HO59" s="551"/>
      <c r="HP59" s="551"/>
      <c r="HQ59" s="551"/>
      <c r="HR59" s="551"/>
      <c r="HS59" s="551"/>
      <c r="HT59" s="551"/>
      <c r="HU59" s="551"/>
      <c r="HV59" s="551"/>
      <c r="HW59" s="551"/>
      <c r="HX59" s="551"/>
      <c r="HY59" s="551"/>
      <c r="HZ59" s="551"/>
      <c r="IA59" s="551"/>
      <c r="IB59" s="551"/>
      <c r="IC59" s="551"/>
      <c r="ID59" s="551"/>
      <c r="IE59" s="551"/>
      <c r="IF59" s="551"/>
      <c r="IG59" s="551"/>
      <c r="IH59" s="551"/>
      <c r="II59" s="551"/>
      <c r="IJ59" s="551"/>
      <c r="IK59" s="551"/>
      <c r="IL59" s="551"/>
      <c r="IM59" s="551"/>
      <c r="IN59" s="551"/>
      <c r="IO59" s="551"/>
      <c r="IP59" s="551"/>
      <c r="IQ59" s="551"/>
      <c r="IR59" s="551"/>
    </row>
    <row r="60" spans="1:252" ht="12.75" customHeight="1" thickBot="1">
      <c r="A60" s="1694" t="s">
        <v>247</v>
      </c>
      <c r="B60" s="1694"/>
      <c r="C60" s="1694"/>
      <c r="D60" s="169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22.5" customHeight="1">
      <c r="A61" s="1699" t="s">
        <v>156</v>
      </c>
      <c r="B61" s="1700"/>
      <c r="C61" s="508" t="s">
        <v>157</v>
      </c>
      <c r="D61" s="569" t="s">
        <v>241</v>
      </c>
      <c r="E61" s="570" t="s">
        <v>159</v>
      </c>
      <c r="F61" s="570" t="s">
        <v>793</v>
      </c>
      <c r="G61" s="570" t="s">
        <v>803</v>
      </c>
      <c r="H61" s="570" t="s">
        <v>885</v>
      </c>
      <c r="I61" s="570" t="s">
        <v>891</v>
      </c>
      <c r="J61" s="570" t="s">
        <v>947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2.75" customHeight="1" thickBot="1">
      <c r="A62" s="1701"/>
      <c r="B62" s="1702"/>
      <c r="C62" s="511" t="s">
        <v>161</v>
      </c>
      <c r="D62" s="585" t="s">
        <v>162</v>
      </c>
      <c r="E62" s="586" t="s">
        <v>163</v>
      </c>
      <c r="F62" s="586" t="s">
        <v>164</v>
      </c>
      <c r="G62" s="586" t="s">
        <v>505</v>
      </c>
      <c r="H62" s="586" t="s">
        <v>525</v>
      </c>
      <c r="I62" s="586" t="s">
        <v>804</v>
      </c>
      <c r="J62" s="586" t="s">
        <v>890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2.75" customHeight="1">
      <c r="A63" s="156" t="s">
        <v>38</v>
      </c>
      <c r="B63" s="149"/>
      <c r="C63" s="489" t="s">
        <v>644</v>
      </c>
      <c r="D63" s="97"/>
      <c r="E63" s="97"/>
      <c r="F63" s="97"/>
      <c r="G63" s="97"/>
      <c r="H63" s="97"/>
      <c r="I63" s="97"/>
      <c r="J63" s="97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12.75" customHeight="1">
      <c r="A64" s="156" t="s">
        <v>40</v>
      </c>
      <c r="B64" s="149"/>
      <c r="C64" s="489" t="s">
        <v>179</v>
      </c>
      <c r="D64" s="97"/>
      <c r="E64" s="97"/>
      <c r="F64" s="97"/>
      <c r="G64" s="97"/>
      <c r="H64" s="97"/>
      <c r="I64" s="97"/>
      <c r="J64" s="97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2.75" customHeight="1">
      <c r="A65" s="156" t="s">
        <v>47</v>
      </c>
      <c r="B65" s="149"/>
      <c r="C65" s="489" t="s">
        <v>181</v>
      </c>
      <c r="D65" s="97">
        <v>1440000</v>
      </c>
      <c r="E65" s="97">
        <v>1440000</v>
      </c>
      <c r="F65" s="97">
        <v>1440000</v>
      </c>
      <c r="G65" s="97">
        <v>1440000</v>
      </c>
      <c r="H65" s="97">
        <v>1440000</v>
      </c>
      <c r="I65" s="97">
        <v>1440000</v>
      </c>
      <c r="J65" s="97">
        <v>1110294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2.75" customHeight="1">
      <c r="A66" s="156" t="s">
        <v>49</v>
      </c>
      <c r="B66" s="149"/>
      <c r="C66" s="489" t="s">
        <v>180</v>
      </c>
      <c r="D66" s="97"/>
      <c r="E66" s="97"/>
      <c r="F66" s="97"/>
      <c r="G66" s="97"/>
      <c r="H66" s="97"/>
      <c r="I66" s="97"/>
      <c r="J66" s="9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2.75" customHeight="1">
      <c r="A67" s="156" t="s">
        <v>51</v>
      </c>
      <c r="B67" s="149"/>
      <c r="C67" s="489" t="s">
        <v>182</v>
      </c>
      <c r="D67" s="97">
        <v>400000</v>
      </c>
      <c r="E67" s="97">
        <v>400000</v>
      </c>
      <c r="F67" s="97">
        <v>400000</v>
      </c>
      <c r="G67" s="97">
        <v>400000</v>
      </c>
      <c r="H67" s="97">
        <v>400000</v>
      </c>
      <c r="I67" s="97">
        <v>400000</v>
      </c>
      <c r="J67" s="97">
        <v>299786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2.75" customHeight="1">
      <c r="A68" s="156" t="s">
        <v>53</v>
      </c>
      <c r="B68" s="149"/>
      <c r="C68" s="486" t="s">
        <v>655</v>
      </c>
      <c r="D68" s="97"/>
      <c r="E68" s="97">
        <v>770</v>
      </c>
      <c r="F68" s="97">
        <v>770</v>
      </c>
      <c r="G68" s="97">
        <v>770</v>
      </c>
      <c r="H68" s="97">
        <v>770</v>
      </c>
      <c r="I68" s="97">
        <v>770</v>
      </c>
      <c r="J68" s="97">
        <v>26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2.75" customHeight="1">
      <c r="A69" s="562" t="s">
        <v>55</v>
      </c>
      <c r="B69" s="233"/>
      <c r="C69" s="499" t="s">
        <v>185</v>
      </c>
      <c r="D69" s="216"/>
      <c r="E69" s="216"/>
      <c r="F69" s="216"/>
      <c r="G69" s="216"/>
      <c r="H69" s="216"/>
      <c r="I69" s="216"/>
      <c r="J69" s="216">
        <v>8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s="261" customFormat="1" ht="12.75" customHeight="1">
      <c r="A70" s="587" t="s">
        <v>57</v>
      </c>
      <c r="B70" s="587" t="s">
        <v>169</v>
      </c>
      <c r="C70" s="548" t="s">
        <v>221</v>
      </c>
      <c r="D70" s="588">
        <f aca="true" t="shared" si="10" ref="D70:I70">SUM(D63:D69)</f>
        <v>1840000</v>
      </c>
      <c r="E70" s="588">
        <f t="shared" si="10"/>
        <v>1840770</v>
      </c>
      <c r="F70" s="588">
        <f t="shared" si="10"/>
        <v>1840770</v>
      </c>
      <c r="G70" s="588">
        <f t="shared" si="10"/>
        <v>1840770</v>
      </c>
      <c r="H70" s="588">
        <f t="shared" si="10"/>
        <v>1840770</v>
      </c>
      <c r="I70" s="588">
        <f t="shared" si="10"/>
        <v>1840770</v>
      </c>
      <c r="J70" s="588">
        <f>SUM(J63:J69)</f>
        <v>1410114</v>
      </c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2"/>
      <c r="CL70" s="262"/>
      <c r="CM70" s="262"/>
      <c r="CN70" s="262"/>
      <c r="CO70" s="262"/>
      <c r="CP70" s="262"/>
      <c r="CQ70" s="262"/>
      <c r="CR70" s="262"/>
      <c r="CS70" s="262"/>
      <c r="CT70" s="262"/>
      <c r="CU70" s="262"/>
      <c r="CV70" s="262"/>
      <c r="CW70" s="262"/>
      <c r="CX70" s="262"/>
      <c r="CY70" s="262"/>
      <c r="CZ70" s="262"/>
      <c r="DA70" s="262"/>
      <c r="DB70" s="262"/>
      <c r="DC70" s="262"/>
      <c r="DD70" s="262"/>
      <c r="DE70" s="262"/>
      <c r="DF70" s="262"/>
      <c r="DG70" s="262"/>
      <c r="DH70" s="262"/>
      <c r="DI70" s="262"/>
      <c r="DJ70" s="262"/>
      <c r="DK70" s="262"/>
      <c r="DL70" s="262"/>
      <c r="DM70" s="262"/>
      <c r="DN70" s="262"/>
      <c r="DO70" s="262"/>
      <c r="DP70" s="262"/>
      <c r="DQ70" s="262"/>
      <c r="DR70" s="262"/>
      <c r="DS70" s="262"/>
      <c r="DT70" s="262"/>
      <c r="DU70" s="262"/>
      <c r="DV70" s="262"/>
      <c r="DW70" s="262"/>
      <c r="DX70" s="262"/>
      <c r="DY70" s="262"/>
      <c r="DZ70" s="262"/>
      <c r="EA70" s="262"/>
      <c r="EB70" s="262"/>
      <c r="EC70" s="262"/>
      <c r="ED70" s="262"/>
      <c r="EE70" s="262"/>
      <c r="EF70" s="262"/>
      <c r="EG70" s="262"/>
      <c r="EH70" s="262"/>
      <c r="EI70" s="262"/>
      <c r="EJ70" s="262"/>
      <c r="EK70" s="262"/>
      <c r="EL70" s="262"/>
      <c r="EM70" s="262"/>
      <c r="EN70" s="262"/>
      <c r="EO70" s="262"/>
      <c r="EP70" s="262"/>
      <c r="EQ70" s="262"/>
      <c r="ER70" s="262"/>
      <c r="ES70" s="262"/>
      <c r="ET70" s="262"/>
      <c r="EU70" s="262"/>
      <c r="EV70" s="262"/>
      <c r="EW70" s="262"/>
      <c r="EX70" s="262"/>
      <c r="EY70" s="262"/>
      <c r="EZ70" s="262"/>
      <c r="FA70" s="262"/>
      <c r="FB70" s="262"/>
      <c r="FC70" s="262"/>
      <c r="FD70" s="262"/>
      <c r="FE70" s="262"/>
      <c r="FF70" s="262"/>
      <c r="FG70" s="262"/>
      <c r="FH70" s="262"/>
      <c r="FI70" s="262"/>
      <c r="FJ70" s="262"/>
      <c r="FK70" s="262"/>
      <c r="FL70" s="262"/>
      <c r="FM70" s="262"/>
      <c r="FN70" s="262"/>
      <c r="FO70" s="262"/>
      <c r="FP70" s="262"/>
      <c r="FQ70" s="262"/>
      <c r="FR70" s="262"/>
      <c r="FS70" s="262"/>
      <c r="FT70" s="262"/>
      <c r="FU70" s="262"/>
      <c r="FV70" s="262"/>
      <c r="FW70" s="262"/>
      <c r="FX70" s="262"/>
      <c r="FY70" s="262"/>
      <c r="FZ70" s="262"/>
      <c r="GA70" s="262"/>
      <c r="GB70" s="262"/>
      <c r="GC70" s="262"/>
      <c r="GD70" s="262"/>
      <c r="GE70" s="262"/>
      <c r="GF70" s="262"/>
      <c r="GG70" s="262"/>
      <c r="GH70" s="262"/>
      <c r="GI70" s="262"/>
      <c r="GJ70" s="262"/>
      <c r="GK70" s="262"/>
      <c r="GL70" s="262"/>
      <c r="GM70" s="262"/>
      <c r="GN70" s="262"/>
      <c r="GO70" s="262"/>
      <c r="GP70" s="262"/>
      <c r="GQ70" s="262"/>
      <c r="GR70" s="262"/>
      <c r="GS70" s="262"/>
      <c r="GT70" s="262"/>
      <c r="GU70" s="262"/>
      <c r="GV70" s="262"/>
      <c r="GW70" s="262"/>
      <c r="GX70" s="262"/>
      <c r="GY70" s="262"/>
      <c r="GZ70" s="262"/>
      <c r="HA70" s="262"/>
      <c r="HB70" s="262"/>
      <c r="HC70" s="262"/>
      <c r="HD70" s="262"/>
      <c r="HE70" s="262"/>
      <c r="HF70" s="262"/>
      <c r="HG70" s="262"/>
      <c r="HH70" s="262"/>
      <c r="HI70" s="262"/>
      <c r="HJ70" s="262"/>
      <c r="HK70" s="262"/>
      <c r="HL70" s="262"/>
      <c r="HM70" s="262"/>
      <c r="HN70" s="262"/>
      <c r="HO70" s="262"/>
      <c r="HP70" s="262"/>
      <c r="HQ70" s="262"/>
      <c r="HR70" s="262"/>
      <c r="HS70" s="262"/>
      <c r="HT70" s="262"/>
      <c r="HU70" s="262"/>
      <c r="HV70" s="262"/>
      <c r="HW70" s="262"/>
      <c r="HX70" s="262"/>
      <c r="HY70" s="262"/>
      <c r="HZ70" s="262"/>
      <c r="IA70" s="262"/>
      <c r="IB70" s="262"/>
      <c r="IC70" s="262"/>
      <c r="ID70" s="262"/>
      <c r="IE70" s="262"/>
      <c r="IF70" s="262"/>
      <c r="IG70" s="262"/>
      <c r="IH70" s="262"/>
      <c r="II70" s="262"/>
      <c r="IJ70" s="262"/>
      <c r="IK70" s="262"/>
      <c r="IL70" s="262"/>
      <c r="IM70" s="262"/>
      <c r="IN70" s="262"/>
      <c r="IO70" s="262"/>
      <c r="IP70" s="262"/>
      <c r="IQ70" s="262"/>
      <c r="IR70" s="262"/>
    </row>
    <row r="71" spans="1:252" ht="12.75" customHeight="1">
      <c r="A71" s="583" t="s">
        <v>86</v>
      </c>
      <c r="B71" s="584"/>
      <c r="C71" s="516" t="s">
        <v>647</v>
      </c>
      <c r="D71" s="159">
        <f aca="true" t="shared" si="11" ref="D71:I71">SUM(D72)+D73</f>
        <v>20000</v>
      </c>
      <c r="E71" s="159">
        <f t="shared" si="11"/>
        <v>0</v>
      </c>
      <c r="F71" s="159">
        <f t="shared" si="11"/>
        <v>15000</v>
      </c>
      <c r="G71" s="159">
        <f t="shared" si="11"/>
        <v>15000</v>
      </c>
      <c r="H71" s="159">
        <f t="shared" si="11"/>
        <v>15000</v>
      </c>
      <c r="I71" s="159">
        <f t="shared" si="11"/>
        <v>15000</v>
      </c>
      <c r="J71" s="159">
        <f>SUM(J72:J73)</f>
        <v>251267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12.75" customHeight="1">
      <c r="A72" s="157" t="s">
        <v>59</v>
      </c>
      <c r="B72" s="98"/>
      <c r="C72" s="525" t="s">
        <v>668</v>
      </c>
      <c r="D72" s="76"/>
      <c r="E72" s="76"/>
      <c r="F72" s="866">
        <v>0</v>
      </c>
      <c r="G72" s="866">
        <v>0</v>
      </c>
      <c r="H72" s="866">
        <v>0</v>
      </c>
      <c r="I72" s="866">
        <v>0</v>
      </c>
      <c r="J72" s="866">
        <v>186267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2.75" customHeight="1">
      <c r="A73" s="157" t="s">
        <v>61</v>
      </c>
      <c r="B73" s="1027"/>
      <c r="C73" s="525" t="s">
        <v>780</v>
      </c>
      <c r="D73" s="1168">
        <v>20000</v>
      </c>
      <c r="E73" s="1168"/>
      <c r="F73" s="1168">
        <v>15000</v>
      </c>
      <c r="G73" s="1168">
        <v>15000</v>
      </c>
      <c r="H73" s="1168">
        <v>15000</v>
      </c>
      <c r="I73" s="1168">
        <v>15000</v>
      </c>
      <c r="J73" s="1168">
        <v>65000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2.75" customHeight="1">
      <c r="A74" s="157" t="s">
        <v>63</v>
      </c>
      <c r="B74" s="115" t="s">
        <v>176</v>
      </c>
      <c r="C74" s="549" t="s">
        <v>189</v>
      </c>
      <c r="D74" s="546">
        <f aca="true" t="shared" si="12" ref="D74:I74">SUM(D71)</f>
        <v>20000</v>
      </c>
      <c r="E74" s="546">
        <f t="shared" si="12"/>
        <v>0</v>
      </c>
      <c r="F74" s="546">
        <f t="shared" si="12"/>
        <v>15000</v>
      </c>
      <c r="G74" s="546">
        <f t="shared" si="12"/>
        <v>15000</v>
      </c>
      <c r="H74" s="546">
        <f t="shared" si="12"/>
        <v>15000</v>
      </c>
      <c r="I74" s="546">
        <f t="shared" si="12"/>
        <v>15000</v>
      </c>
      <c r="J74" s="546">
        <f>SUM(J71)</f>
        <v>251267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2.75" customHeight="1">
      <c r="A75" s="157" t="s">
        <v>65</v>
      </c>
      <c r="B75" s="115" t="s">
        <v>186</v>
      </c>
      <c r="C75" s="549" t="s">
        <v>798</v>
      </c>
      <c r="D75" s="546"/>
      <c r="E75" s="546"/>
      <c r="F75" s="546">
        <v>800000</v>
      </c>
      <c r="G75" s="546">
        <v>800000</v>
      </c>
      <c r="H75" s="546">
        <v>800000</v>
      </c>
      <c r="I75" s="546">
        <v>800000</v>
      </c>
      <c r="J75" s="546">
        <v>800000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2.75" customHeight="1">
      <c r="A76" s="156" t="s">
        <v>92</v>
      </c>
      <c r="B76" s="98"/>
      <c r="C76" s="526" t="s">
        <v>225</v>
      </c>
      <c r="D76" s="97">
        <v>3309000</v>
      </c>
      <c r="E76" s="97">
        <v>455730</v>
      </c>
      <c r="F76" s="97">
        <v>455730</v>
      </c>
      <c r="G76" s="97">
        <v>455730</v>
      </c>
      <c r="H76" s="97">
        <v>455730</v>
      </c>
      <c r="I76" s="97">
        <v>455730</v>
      </c>
      <c r="J76" s="97">
        <v>455730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12.75" customHeight="1">
      <c r="A77" s="156" t="s">
        <v>66</v>
      </c>
      <c r="B77" s="119"/>
      <c r="C77" s="146" t="s">
        <v>675</v>
      </c>
      <c r="D77" s="97">
        <v>26751000</v>
      </c>
      <c r="E77" s="97">
        <v>29960135</v>
      </c>
      <c r="F77" s="97">
        <v>30315839</v>
      </c>
      <c r="G77" s="97">
        <v>30315839</v>
      </c>
      <c r="H77" s="97">
        <v>30315839</v>
      </c>
      <c r="I77" s="97">
        <v>29960135</v>
      </c>
      <c r="J77" s="97">
        <v>29228811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2.75" customHeight="1">
      <c r="A78" s="562" t="s">
        <v>67</v>
      </c>
      <c r="B78" s="395"/>
      <c r="C78" s="1028" t="s">
        <v>779</v>
      </c>
      <c r="D78" s="216">
        <v>76898000</v>
      </c>
      <c r="E78" s="216">
        <v>79858365</v>
      </c>
      <c r="F78" s="216">
        <v>79858365</v>
      </c>
      <c r="G78" s="216">
        <v>79959056</v>
      </c>
      <c r="H78" s="216">
        <v>79959056</v>
      </c>
      <c r="I78" s="216">
        <v>80496381</v>
      </c>
      <c r="J78" s="216">
        <v>85657376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2.75" customHeight="1" thickBot="1">
      <c r="A79" s="604" t="s">
        <v>68</v>
      </c>
      <c r="B79" s="605" t="s">
        <v>187</v>
      </c>
      <c r="C79" s="576" t="s">
        <v>673</v>
      </c>
      <c r="D79" s="102">
        <f aca="true" t="shared" si="13" ref="D79:I79">SUM(D76:D78)</f>
        <v>106958000</v>
      </c>
      <c r="E79" s="102">
        <f t="shared" si="13"/>
        <v>110274230</v>
      </c>
      <c r="F79" s="102">
        <f t="shared" si="13"/>
        <v>110629934</v>
      </c>
      <c r="G79" s="102">
        <f t="shared" si="13"/>
        <v>110730625</v>
      </c>
      <c r="H79" s="102">
        <f t="shared" si="13"/>
        <v>110730625</v>
      </c>
      <c r="I79" s="102">
        <f t="shared" si="13"/>
        <v>110912246</v>
      </c>
      <c r="J79" s="102">
        <f>SUM(J76:J78)</f>
        <v>115341917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9.5" customHeight="1" thickBot="1">
      <c r="A80" s="606" t="s">
        <v>70</v>
      </c>
      <c r="B80" s="607"/>
      <c r="C80" s="1029" t="s">
        <v>248</v>
      </c>
      <c r="D80" s="1030">
        <f>SUM(D70+D74+D79)</f>
        <v>108818000</v>
      </c>
      <c r="E80" s="1030">
        <f>SUM(E70+E74+E79)</f>
        <v>112115000</v>
      </c>
      <c r="F80" s="1030">
        <f>SUM(F70+F74+F79)+F75</f>
        <v>113285704</v>
      </c>
      <c r="G80" s="1030">
        <f>SUM(G70+G74+G79)+G75</f>
        <v>113386395</v>
      </c>
      <c r="H80" s="1030">
        <f>SUM(H70+H74+H79)+H75</f>
        <v>113386395</v>
      </c>
      <c r="I80" s="1030">
        <f>SUM(I70+I74+I79)+I75</f>
        <v>113568016</v>
      </c>
      <c r="J80" s="1030">
        <f>SUM(J70+J74+J79)+J75</f>
        <v>117803298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2.75" customHeight="1" thickBot="1">
      <c r="A81" s="1694" t="s">
        <v>809</v>
      </c>
      <c r="B81" s="1694"/>
      <c r="C81" s="1694"/>
      <c r="D81" s="1694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28.5" customHeight="1">
      <c r="A82" s="1690" t="s">
        <v>156</v>
      </c>
      <c r="B82" s="1691"/>
      <c r="C82" s="596" t="s">
        <v>157</v>
      </c>
      <c r="D82" s="597" t="s">
        <v>241</v>
      </c>
      <c r="E82" s="598" t="s">
        <v>159</v>
      </c>
      <c r="F82" s="598" t="s">
        <v>793</v>
      </c>
      <c r="G82" s="570" t="s">
        <v>803</v>
      </c>
      <c r="H82" s="570" t="s">
        <v>885</v>
      </c>
      <c r="I82" s="570" t="s">
        <v>891</v>
      </c>
      <c r="J82" s="570" t="s">
        <v>947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4.25" customHeight="1" thickBot="1">
      <c r="A83" s="1692"/>
      <c r="B83" s="1693"/>
      <c r="C83" s="599" t="s">
        <v>161</v>
      </c>
      <c r="D83" s="600" t="s">
        <v>162</v>
      </c>
      <c r="E83" s="601" t="s">
        <v>163</v>
      </c>
      <c r="F83" s="601" t="s">
        <v>164</v>
      </c>
      <c r="G83" s="586" t="s">
        <v>505</v>
      </c>
      <c r="H83" s="586" t="s">
        <v>525</v>
      </c>
      <c r="I83" s="586" t="s">
        <v>804</v>
      </c>
      <c r="J83" s="586" t="s">
        <v>890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4.25" customHeight="1">
      <c r="A84" s="592" t="s">
        <v>38</v>
      </c>
      <c r="B84" s="591"/>
      <c r="C84" s="489" t="s">
        <v>644</v>
      </c>
      <c r="D84" s="589"/>
      <c r="E84" s="590"/>
      <c r="F84" s="590"/>
      <c r="G84" s="590"/>
      <c r="H84" s="590"/>
      <c r="I84" s="590"/>
      <c r="J84" s="590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4.25" customHeight="1">
      <c r="A85" s="592" t="s">
        <v>40</v>
      </c>
      <c r="B85" s="591"/>
      <c r="C85" s="489" t="s">
        <v>179</v>
      </c>
      <c r="D85" s="589"/>
      <c r="E85" s="590"/>
      <c r="F85" s="590"/>
      <c r="G85" s="590"/>
      <c r="H85" s="590"/>
      <c r="I85" s="590"/>
      <c r="J85" s="590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14.25" customHeight="1">
      <c r="A86" s="592" t="s">
        <v>47</v>
      </c>
      <c r="B86" s="591"/>
      <c r="C86" s="489" t="s">
        <v>973</v>
      </c>
      <c r="D86" s="1512">
        <v>300000</v>
      </c>
      <c r="E86" s="1513">
        <v>299993</v>
      </c>
      <c r="F86" s="1513">
        <v>299993</v>
      </c>
      <c r="G86" s="1513">
        <v>299993</v>
      </c>
      <c r="H86" s="1513">
        <v>299993</v>
      </c>
      <c r="I86" s="1513">
        <v>400000</v>
      </c>
      <c r="J86" s="1513">
        <v>507000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14.25" customHeight="1">
      <c r="A87" s="592" t="s">
        <v>49</v>
      </c>
      <c r="B87" s="591"/>
      <c r="C87" s="489" t="s">
        <v>182</v>
      </c>
      <c r="D87" s="1512"/>
      <c r="E87" s="1513"/>
      <c r="F87" s="1513"/>
      <c r="G87" s="1513"/>
      <c r="H87" s="1513"/>
      <c r="I87" s="1513"/>
      <c r="J87" s="1513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4.25" customHeight="1">
      <c r="A88" s="592" t="s">
        <v>51</v>
      </c>
      <c r="B88" s="591"/>
      <c r="C88" s="486" t="s">
        <v>655</v>
      </c>
      <c r="D88" s="1512"/>
      <c r="E88" s="1513"/>
      <c r="F88" s="1513"/>
      <c r="G88" s="1513"/>
      <c r="H88" s="1513"/>
      <c r="I88" s="1513">
        <v>100</v>
      </c>
      <c r="J88" s="1513">
        <v>3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4.25" customHeight="1">
      <c r="A89" s="592" t="s">
        <v>53</v>
      </c>
      <c r="B89" s="591"/>
      <c r="C89" s="499" t="s">
        <v>185</v>
      </c>
      <c r="D89" s="1512"/>
      <c r="E89" s="1513"/>
      <c r="F89" s="1513"/>
      <c r="G89" s="1513"/>
      <c r="H89" s="1513"/>
      <c r="I89" s="1513">
        <v>2000</v>
      </c>
      <c r="J89" s="1513">
        <v>1045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s="78" customFormat="1" ht="12.75" customHeight="1">
      <c r="A90" s="595" t="s">
        <v>55</v>
      </c>
      <c r="B90" s="593" t="s">
        <v>169</v>
      </c>
      <c r="C90" s="548" t="s">
        <v>221</v>
      </c>
      <c r="D90" s="594">
        <f aca="true" t="shared" si="14" ref="D90:I90">SUM(D84:D89)</f>
        <v>300000</v>
      </c>
      <c r="E90" s="594">
        <f t="shared" si="14"/>
        <v>299993</v>
      </c>
      <c r="F90" s="594">
        <f t="shared" si="14"/>
        <v>299993</v>
      </c>
      <c r="G90" s="594">
        <f t="shared" si="14"/>
        <v>299993</v>
      </c>
      <c r="H90" s="594">
        <f t="shared" si="14"/>
        <v>299993</v>
      </c>
      <c r="I90" s="594">
        <f t="shared" si="14"/>
        <v>402100</v>
      </c>
      <c r="J90" s="594">
        <f>SUM(J84:J89)</f>
        <v>508048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</row>
    <row r="91" spans="1:252" ht="12.75" customHeight="1">
      <c r="A91" s="156" t="s">
        <v>57</v>
      </c>
      <c r="B91" s="119"/>
      <c r="C91" s="526" t="s">
        <v>225</v>
      </c>
      <c r="D91" s="97">
        <v>330000</v>
      </c>
      <c r="E91" s="97">
        <v>325007</v>
      </c>
      <c r="F91" s="97">
        <v>325007</v>
      </c>
      <c r="G91" s="97">
        <v>325007</v>
      </c>
      <c r="H91" s="97">
        <v>325007</v>
      </c>
      <c r="I91" s="97">
        <v>325007</v>
      </c>
      <c r="J91" s="97">
        <v>325007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12.75" customHeight="1">
      <c r="A92" s="156" t="s">
        <v>86</v>
      </c>
      <c r="B92" s="119"/>
      <c r="C92" s="146" t="s">
        <v>675</v>
      </c>
      <c r="D92" s="97">
        <v>10673000</v>
      </c>
      <c r="E92" s="97">
        <v>13542980</v>
      </c>
      <c r="F92" s="97">
        <v>13542980</v>
      </c>
      <c r="G92" s="97">
        <v>13542980</v>
      </c>
      <c r="H92" s="97">
        <v>13542980</v>
      </c>
      <c r="I92" s="97">
        <v>13542980</v>
      </c>
      <c r="J92" s="97">
        <v>9637441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12.75" customHeight="1">
      <c r="A93" s="562" t="s">
        <v>59</v>
      </c>
      <c r="B93" s="395"/>
      <c r="C93" s="1028" t="s">
        <v>779</v>
      </c>
      <c r="D93" s="216">
        <v>4146000</v>
      </c>
      <c r="E93" s="216">
        <v>3982020</v>
      </c>
      <c r="F93" s="216">
        <v>3982020</v>
      </c>
      <c r="G93" s="216">
        <v>4209902</v>
      </c>
      <c r="H93" s="216">
        <v>4209902</v>
      </c>
      <c r="I93" s="216">
        <v>4315311</v>
      </c>
      <c r="J93" s="216">
        <v>4746312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ht="12.75" customHeight="1" thickBot="1">
      <c r="A94" s="609" t="s">
        <v>61</v>
      </c>
      <c r="B94" s="605" t="s">
        <v>176</v>
      </c>
      <c r="C94" s="576" t="s">
        <v>673</v>
      </c>
      <c r="D94" s="102">
        <f aca="true" t="shared" si="15" ref="D94:I94">SUM(D91:D93)</f>
        <v>15149000</v>
      </c>
      <c r="E94" s="102">
        <f t="shared" si="15"/>
        <v>17850007</v>
      </c>
      <c r="F94" s="102">
        <f t="shared" si="15"/>
        <v>17850007</v>
      </c>
      <c r="G94" s="102">
        <f t="shared" si="15"/>
        <v>18077889</v>
      </c>
      <c r="H94" s="102">
        <f t="shared" si="15"/>
        <v>18077889</v>
      </c>
      <c r="I94" s="102">
        <f t="shared" si="15"/>
        <v>18183298</v>
      </c>
      <c r="J94" s="102">
        <f>SUM(J91:J93)</f>
        <v>14708760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ht="17.25" customHeight="1" thickBot="1">
      <c r="A95" s="610" t="s">
        <v>63</v>
      </c>
      <c r="B95" s="607"/>
      <c r="C95" s="611" t="s">
        <v>250</v>
      </c>
      <c r="D95" s="608">
        <f aca="true" t="shared" si="16" ref="D95:I95">SUM(D94,D90)</f>
        <v>15449000</v>
      </c>
      <c r="E95" s="608">
        <f t="shared" si="16"/>
        <v>18150000</v>
      </c>
      <c r="F95" s="608">
        <f t="shared" si="16"/>
        <v>18150000</v>
      </c>
      <c r="G95" s="608">
        <f t="shared" si="16"/>
        <v>18377882</v>
      </c>
      <c r="H95" s="608">
        <f t="shared" si="16"/>
        <v>18377882</v>
      </c>
      <c r="I95" s="608">
        <f t="shared" si="16"/>
        <v>18585398</v>
      </c>
      <c r="J95" s="608">
        <f>SUM(J94,J90)</f>
        <v>15216808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10" s="163" customFormat="1" ht="12.75" customHeight="1">
      <c r="A96" s="160"/>
      <c r="B96" s="161"/>
      <c r="C96" s="162"/>
      <c r="D96" s="57"/>
      <c r="E96" s="57"/>
      <c r="F96" s="57"/>
      <c r="G96" s="57"/>
      <c r="H96" s="57"/>
      <c r="I96" s="57"/>
      <c r="J96" s="57"/>
    </row>
    <row r="97" spans="1:10" s="163" customFormat="1" ht="12.75" customHeight="1" thickBot="1">
      <c r="A97" s="160"/>
      <c r="B97" s="161"/>
      <c r="C97" s="162" t="s">
        <v>251</v>
      </c>
      <c r="D97" s="57"/>
      <c r="E97" s="57"/>
      <c r="F97" s="57"/>
      <c r="G97" s="57"/>
      <c r="H97" s="57"/>
      <c r="I97" s="57"/>
      <c r="J97" s="57"/>
    </row>
    <row r="98" spans="1:10" s="163" customFormat="1" ht="25.5" customHeight="1">
      <c r="A98" s="1699" t="s">
        <v>156</v>
      </c>
      <c r="B98" s="1700"/>
      <c r="C98" s="568" t="s">
        <v>157</v>
      </c>
      <c r="D98" s="569" t="s">
        <v>241</v>
      </c>
      <c r="E98" s="614" t="s">
        <v>159</v>
      </c>
      <c r="F98" s="614" t="s">
        <v>793</v>
      </c>
      <c r="G98" s="570" t="s">
        <v>803</v>
      </c>
      <c r="H98" s="570" t="s">
        <v>885</v>
      </c>
      <c r="I98" s="570" t="s">
        <v>891</v>
      </c>
      <c r="J98" s="570" t="s">
        <v>947</v>
      </c>
    </row>
    <row r="99" spans="1:10" s="163" customFormat="1" ht="12.75" customHeight="1" thickBot="1">
      <c r="A99" s="1701"/>
      <c r="B99" s="1702"/>
      <c r="C99" s="571" t="s">
        <v>161</v>
      </c>
      <c r="D99" s="572" t="s">
        <v>162</v>
      </c>
      <c r="E99" s="586" t="s">
        <v>163</v>
      </c>
      <c r="F99" s="586" t="s">
        <v>164</v>
      </c>
      <c r="G99" s="586" t="s">
        <v>505</v>
      </c>
      <c r="H99" s="586" t="s">
        <v>525</v>
      </c>
      <c r="I99" s="586" t="s">
        <v>804</v>
      </c>
      <c r="J99" s="586" t="s">
        <v>890</v>
      </c>
    </row>
    <row r="100" spans="1:10" s="163" customFormat="1" ht="12.75" customHeight="1">
      <c r="A100" s="156" t="s">
        <v>38</v>
      </c>
      <c r="B100" s="119"/>
      <c r="C100" s="489" t="s">
        <v>644</v>
      </c>
      <c r="D100" s="159">
        <v>500000</v>
      </c>
      <c r="E100" s="164">
        <v>130192</v>
      </c>
      <c r="F100" s="164">
        <v>130192</v>
      </c>
      <c r="G100" s="164">
        <v>130192</v>
      </c>
      <c r="H100" s="164">
        <v>130192</v>
      </c>
      <c r="I100" s="164">
        <v>116892</v>
      </c>
      <c r="J100" s="164">
        <v>89708</v>
      </c>
    </row>
    <row r="101" spans="1:10" s="163" customFormat="1" ht="12.75" customHeight="1">
      <c r="A101" s="156" t="s">
        <v>40</v>
      </c>
      <c r="B101" s="119"/>
      <c r="C101" s="489" t="s">
        <v>179</v>
      </c>
      <c r="D101" s="159">
        <v>0</v>
      </c>
      <c r="E101" s="164">
        <v>0</v>
      </c>
      <c r="F101" s="164">
        <v>0</v>
      </c>
      <c r="G101" s="164">
        <v>0</v>
      </c>
      <c r="H101" s="164">
        <v>0</v>
      </c>
      <c r="I101" s="164">
        <v>0</v>
      </c>
      <c r="J101" s="164">
        <v>0</v>
      </c>
    </row>
    <row r="102" spans="1:10" s="163" customFormat="1" ht="12.75" customHeight="1">
      <c r="A102" s="156" t="s">
        <v>47</v>
      </c>
      <c r="B102" s="119"/>
      <c r="C102" s="489" t="s">
        <v>180</v>
      </c>
      <c r="D102" s="159">
        <v>100000</v>
      </c>
      <c r="E102" s="164">
        <v>140000</v>
      </c>
      <c r="F102" s="164">
        <v>140000</v>
      </c>
      <c r="G102" s="164">
        <v>140000</v>
      </c>
      <c r="H102" s="164">
        <v>140000</v>
      </c>
      <c r="I102" s="164">
        <v>139000</v>
      </c>
      <c r="J102" s="164">
        <v>83600</v>
      </c>
    </row>
    <row r="103" spans="1:10" s="163" customFormat="1" ht="12.75" customHeight="1">
      <c r="A103" s="156" t="s">
        <v>49</v>
      </c>
      <c r="B103" s="119"/>
      <c r="C103" s="489" t="s">
        <v>766</v>
      </c>
      <c r="D103" s="159">
        <v>15000000</v>
      </c>
      <c r="E103" s="164">
        <v>16500000</v>
      </c>
      <c r="F103" s="164">
        <v>16500000</v>
      </c>
      <c r="G103" s="164">
        <v>16500000</v>
      </c>
      <c r="H103" s="164">
        <v>16500000</v>
      </c>
      <c r="I103" s="164">
        <v>16500000</v>
      </c>
      <c r="J103" s="164">
        <v>15670701</v>
      </c>
    </row>
    <row r="104" spans="1:10" s="163" customFormat="1" ht="12.75" customHeight="1">
      <c r="A104" s="156" t="s">
        <v>51</v>
      </c>
      <c r="B104" s="119"/>
      <c r="C104" s="489" t="s">
        <v>182</v>
      </c>
      <c r="D104" s="159">
        <v>3900000</v>
      </c>
      <c r="E104" s="164">
        <v>4500000</v>
      </c>
      <c r="F104" s="164">
        <v>4500000</v>
      </c>
      <c r="G104" s="164">
        <v>4500000</v>
      </c>
      <c r="H104" s="164">
        <v>4500000</v>
      </c>
      <c r="I104" s="164">
        <v>4500000</v>
      </c>
      <c r="J104" s="164">
        <v>4277524</v>
      </c>
    </row>
    <row r="105" spans="1:10" s="163" customFormat="1" ht="12.75" customHeight="1">
      <c r="A105" s="156" t="s">
        <v>53</v>
      </c>
      <c r="B105" s="119"/>
      <c r="C105" s="486" t="s">
        <v>655</v>
      </c>
      <c r="D105" s="159">
        <v>0</v>
      </c>
      <c r="E105" s="164"/>
      <c r="F105" s="164"/>
      <c r="G105" s="164"/>
      <c r="H105" s="164"/>
      <c r="I105" s="164">
        <v>1000</v>
      </c>
      <c r="J105" s="164">
        <v>1</v>
      </c>
    </row>
    <row r="106" spans="1:10" s="163" customFormat="1" ht="12.75" customHeight="1">
      <c r="A106" s="156" t="s">
        <v>55</v>
      </c>
      <c r="B106" s="119"/>
      <c r="C106" s="499" t="s">
        <v>185</v>
      </c>
      <c r="D106" s="159"/>
      <c r="E106" s="164"/>
      <c r="F106" s="164"/>
      <c r="G106" s="164"/>
      <c r="H106" s="164"/>
      <c r="I106" s="164">
        <v>13300</v>
      </c>
      <c r="J106" s="164">
        <v>529164</v>
      </c>
    </row>
    <row r="107" spans="1:10" s="166" customFormat="1" ht="12.75" customHeight="1">
      <c r="A107" s="141" t="s">
        <v>57</v>
      </c>
      <c r="B107" s="612" t="s">
        <v>169</v>
      </c>
      <c r="C107" s="548" t="s">
        <v>221</v>
      </c>
      <c r="D107" s="594">
        <f aca="true" t="shared" si="17" ref="D107:I107">SUM(D100:D106)</f>
        <v>19500000</v>
      </c>
      <c r="E107" s="594">
        <f t="shared" si="17"/>
        <v>21270192</v>
      </c>
      <c r="F107" s="594">
        <f t="shared" si="17"/>
        <v>21270192</v>
      </c>
      <c r="G107" s="594">
        <f t="shared" si="17"/>
        <v>21270192</v>
      </c>
      <c r="H107" s="594">
        <f t="shared" si="17"/>
        <v>21270192</v>
      </c>
      <c r="I107" s="594">
        <f t="shared" si="17"/>
        <v>21270192</v>
      </c>
      <c r="J107" s="594">
        <f>SUM(J100:J106)</f>
        <v>20650698</v>
      </c>
    </row>
    <row r="108" spans="1:10" s="166" customFormat="1" ht="27" customHeight="1">
      <c r="A108" s="141" t="s">
        <v>86</v>
      </c>
      <c r="B108" s="612" t="s">
        <v>176</v>
      </c>
      <c r="C108" s="1514" t="s">
        <v>168</v>
      </c>
      <c r="D108" s="594"/>
      <c r="E108" s="594"/>
      <c r="F108" s="594"/>
      <c r="G108" s="594"/>
      <c r="H108" s="594"/>
      <c r="I108" s="594">
        <v>907459</v>
      </c>
      <c r="J108" s="594">
        <v>907459</v>
      </c>
    </row>
    <row r="109" spans="1:10" s="166" customFormat="1" ht="12.75" customHeight="1">
      <c r="A109" s="138">
        <v>10</v>
      </c>
      <c r="B109" s="612"/>
      <c r="C109" s="526" t="s">
        <v>225</v>
      </c>
      <c r="D109" s="1036">
        <v>3047000</v>
      </c>
      <c r="E109" s="1033">
        <v>3099073</v>
      </c>
      <c r="F109" s="1033">
        <v>3099073</v>
      </c>
      <c r="G109" s="1033">
        <v>3099073</v>
      </c>
      <c r="H109" s="1033">
        <v>3099073</v>
      </c>
      <c r="I109" s="1033">
        <v>3099073</v>
      </c>
      <c r="J109" s="1033">
        <v>3099073</v>
      </c>
    </row>
    <row r="110" spans="1:10" s="166" customFormat="1" ht="12.75" customHeight="1">
      <c r="A110" s="138" t="s">
        <v>61</v>
      </c>
      <c r="B110" s="612"/>
      <c r="C110" s="613" t="s">
        <v>675</v>
      </c>
      <c r="D110" s="1032">
        <v>53372000</v>
      </c>
      <c r="E110" s="1034">
        <v>51256000</v>
      </c>
      <c r="F110" s="1034">
        <v>46652407</v>
      </c>
      <c r="G110" s="1034">
        <v>46652407</v>
      </c>
      <c r="H110" s="1034">
        <v>46652407</v>
      </c>
      <c r="I110" s="1034">
        <v>46652407</v>
      </c>
      <c r="J110" s="1034">
        <v>34529419</v>
      </c>
    </row>
    <row r="111" spans="1:10" s="166" customFormat="1" ht="12.75" customHeight="1">
      <c r="A111" s="488" t="s">
        <v>65</v>
      </c>
      <c r="B111" s="1037"/>
      <c r="C111" s="1031" t="s">
        <v>779</v>
      </c>
      <c r="D111" s="954">
        <v>32157000</v>
      </c>
      <c r="E111" s="1035">
        <v>18496735</v>
      </c>
      <c r="F111" s="1035">
        <v>18496735</v>
      </c>
      <c r="G111" s="1035">
        <v>18752391</v>
      </c>
      <c r="H111" s="1035">
        <v>18752391</v>
      </c>
      <c r="I111" s="1035">
        <v>18801923</v>
      </c>
      <c r="J111" s="1035">
        <v>28993914</v>
      </c>
    </row>
    <row r="112" spans="1:10" s="166" customFormat="1" ht="12.75" customHeight="1" thickBot="1">
      <c r="A112" s="615" t="s">
        <v>92</v>
      </c>
      <c r="B112" s="616" t="s">
        <v>176</v>
      </c>
      <c r="C112" s="576" t="s">
        <v>673</v>
      </c>
      <c r="D112" s="617">
        <f aca="true" t="shared" si="18" ref="D112:J112">SUM(D109:D110)+D111</f>
        <v>88576000</v>
      </c>
      <c r="E112" s="617">
        <f t="shared" si="18"/>
        <v>72851808</v>
      </c>
      <c r="F112" s="617">
        <f t="shared" si="18"/>
        <v>68248215</v>
      </c>
      <c r="G112" s="617">
        <f t="shared" si="18"/>
        <v>68503871</v>
      </c>
      <c r="H112" s="617">
        <f t="shared" si="18"/>
        <v>68503871</v>
      </c>
      <c r="I112" s="617">
        <f t="shared" si="18"/>
        <v>68553403</v>
      </c>
      <c r="J112" s="617">
        <f t="shared" si="18"/>
        <v>66622406</v>
      </c>
    </row>
    <row r="113" spans="1:10" s="163" customFormat="1" ht="36.75" customHeight="1" thickBot="1">
      <c r="A113" s="610" t="s">
        <v>66</v>
      </c>
      <c r="B113" s="607"/>
      <c r="C113" s="618" t="s">
        <v>252</v>
      </c>
      <c r="D113" s="608">
        <f>SUM(D107+D112)</f>
        <v>108076000</v>
      </c>
      <c r="E113" s="608">
        <f>SUM(E107+E112)</f>
        <v>94122000</v>
      </c>
      <c r="F113" s="608">
        <f>SUM(F107+F112)</f>
        <v>89518407</v>
      </c>
      <c r="G113" s="608">
        <f>SUM(G107+G112)</f>
        <v>89774063</v>
      </c>
      <c r="H113" s="608">
        <f>SUM(H107+H112)</f>
        <v>89774063</v>
      </c>
      <c r="I113" s="608">
        <f>SUM(I107+I112)+I108</f>
        <v>90731054</v>
      </c>
      <c r="J113" s="608">
        <f>SUM(J107+J112)+J108</f>
        <v>88180563</v>
      </c>
    </row>
    <row r="114" spans="1:10" s="163" customFormat="1" ht="12.75" customHeight="1">
      <c r="A114" s="160"/>
      <c r="B114" s="161"/>
      <c r="C114" s="162"/>
      <c r="D114" s="57"/>
      <c r="E114" s="57"/>
      <c r="F114" s="57"/>
      <c r="G114" s="57"/>
      <c r="H114" s="57"/>
      <c r="I114" s="57"/>
      <c r="J114" s="57"/>
    </row>
    <row r="115" spans="1:10" s="163" customFormat="1" ht="12.75" customHeight="1">
      <c r="A115" s="165"/>
      <c r="C115" s="166" t="s">
        <v>253</v>
      </c>
      <c r="D115" s="57">
        <f aca="true" t="shared" si="19" ref="D115:J115">D113+D95+D80+D59+D42</f>
        <v>966955000</v>
      </c>
      <c r="E115" s="57">
        <f t="shared" si="19"/>
        <v>768297000</v>
      </c>
      <c r="F115" s="57">
        <f t="shared" si="19"/>
        <v>768366587</v>
      </c>
      <c r="G115" s="57">
        <f t="shared" si="19"/>
        <v>772773858</v>
      </c>
      <c r="H115" s="57">
        <f t="shared" si="19"/>
        <v>772773858</v>
      </c>
      <c r="I115" s="57">
        <f t="shared" si="19"/>
        <v>1142296737</v>
      </c>
      <c r="J115" s="57">
        <f t="shared" si="19"/>
        <v>1469992150</v>
      </c>
    </row>
    <row r="116" spans="1:10" s="168" customFormat="1" ht="12.75" customHeight="1">
      <c r="A116" s="167"/>
      <c r="C116" s="169" t="s">
        <v>253</v>
      </c>
      <c r="D116" s="170"/>
      <c r="E116" s="170"/>
      <c r="F116" s="170"/>
      <c r="G116" s="170"/>
      <c r="H116" s="170"/>
      <c r="I116" s="170"/>
      <c r="J116" s="170"/>
    </row>
  </sheetData>
  <sheetProtection selectLockedCells="1" selectUnlockedCells="1"/>
  <mergeCells count="15">
    <mergeCell ref="A98:B99"/>
    <mergeCell ref="A8:B9"/>
    <mergeCell ref="A43:C43"/>
    <mergeCell ref="A44:B45"/>
    <mergeCell ref="A60:D60"/>
    <mergeCell ref="A61:B62"/>
    <mergeCell ref="A81:D81"/>
    <mergeCell ref="D7:I7"/>
    <mergeCell ref="A82:B83"/>
    <mergeCell ref="A7:C7"/>
    <mergeCell ref="A1:I1"/>
    <mergeCell ref="A2:J2"/>
    <mergeCell ref="A4:J4"/>
    <mergeCell ref="A5:J5"/>
    <mergeCell ref="C3:I3"/>
  </mergeCells>
  <printOptions horizontalCentered="1"/>
  <pageMargins left="0.3937007874015748" right="0.3937007874015748" top="0.4724409448818898" bottom="0.4724409448818898" header="0.5118110236220472" footer="0.7874015748031497"/>
  <pageSetup horizontalDpi="600" verticalDpi="600" orientation="portrait" paperSize="9" scale="53" r:id="rId1"/>
  <headerFooter alignWithMargins="0">
    <oddFooter>&amp;C&amp;"Times New Roman,Normál"&amp;12Oldal &amp;P</oddFooter>
  </headerFooter>
  <rowBreaks count="1" manualBreakCount="1">
    <brk id="8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IP239"/>
  <sheetViews>
    <sheetView showGridLines="0" view="pageBreakPreview" zoomScale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C4" sqref="C4:I4"/>
    </sheetView>
  </sheetViews>
  <sheetFormatPr defaultColWidth="11.7109375" defaultRowHeight="12.75" customHeight="1"/>
  <cols>
    <col min="1" max="1" width="4.7109375" style="56" customWidth="1"/>
    <col min="2" max="2" width="3.8515625" style="56" customWidth="1"/>
    <col min="3" max="3" width="56.28125" style="56" customWidth="1"/>
    <col min="4" max="4" width="8.7109375" style="56" customWidth="1"/>
    <col min="5" max="8" width="14.7109375" style="57" bestFit="1" customWidth="1"/>
    <col min="9" max="10" width="17.8515625" style="57" customWidth="1"/>
    <col min="11" max="16384" width="11.7109375" style="56" customWidth="1"/>
  </cols>
  <sheetData>
    <row r="1" spans="1:9" s="111" customFormat="1" ht="18" customHeight="1">
      <c r="A1" s="1673" t="s">
        <v>254</v>
      </c>
      <c r="B1" s="1673"/>
      <c r="C1" s="1673"/>
      <c r="D1" s="1673"/>
      <c r="E1" s="1673"/>
      <c r="F1" s="1673"/>
      <c r="G1" s="1673"/>
      <c r="H1" s="1673"/>
      <c r="I1" s="1673"/>
    </row>
    <row r="2" spans="1:10" ht="12.75" customHeight="1">
      <c r="A2" s="1703" t="s">
        <v>1133</v>
      </c>
      <c r="B2" s="1703"/>
      <c r="C2" s="1703"/>
      <c r="D2" s="1703"/>
      <c r="E2" s="1703"/>
      <c r="F2" s="1703"/>
      <c r="G2" s="1703"/>
      <c r="H2" s="1703"/>
      <c r="I2" s="1703"/>
      <c r="J2" s="1703"/>
    </row>
    <row r="3" spans="1:10" ht="12.75" customHeight="1">
      <c r="A3" s="1703"/>
      <c r="B3" s="1703"/>
      <c r="C3" s="1703"/>
      <c r="D3" s="1703"/>
      <c r="E3" s="1703"/>
      <c r="F3" s="1703"/>
      <c r="G3" s="1703"/>
      <c r="H3" s="1703"/>
      <c r="I3" s="1703"/>
      <c r="J3" s="1703"/>
    </row>
    <row r="4" spans="1:10" ht="12.75" customHeight="1">
      <c r="A4" s="1641"/>
      <c r="B4" s="1641"/>
      <c r="C4" s="1703" t="s">
        <v>1136</v>
      </c>
      <c r="D4" s="1703"/>
      <c r="E4" s="1703"/>
      <c r="F4" s="1703"/>
      <c r="G4" s="1703"/>
      <c r="H4" s="1703"/>
      <c r="I4" s="1703"/>
      <c r="J4" s="1641"/>
    </row>
    <row r="5" spans="1:10" s="135" customFormat="1" ht="12.75" customHeight="1">
      <c r="A5" s="1687" t="s">
        <v>255</v>
      </c>
      <c r="B5" s="1687"/>
      <c r="C5" s="1687"/>
      <c r="D5" s="1687"/>
      <c r="E5" s="1687"/>
      <c r="F5" s="1687"/>
      <c r="G5" s="1687"/>
      <c r="H5" s="1687"/>
      <c r="I5" s="1687"/>
      <c r="J5" s="1687"/>
    </row>
    <row r="6" spans="1:10" s="135" customFormat="1" ht="12.75" customHeight="1">
      <c r="A6" s="1687"/>
      <c r="B6" s="1687"/>
      <c r="C6" s="1687"/>
      <c r="D6" s="1687"/>
      <c r="E6" s="1687"/>
      <c r="F6" s="1687"/>
      <c r="G6" s="1687"/>
      <c r="H6" s="1687"/>
      <c r="I6" s="1687"/>
      <c r="J6" s="1687"/>
    </row>
    <row r="7" spans="1:10" s="135" customFormat="1" ht="12.75" customHeight="1">
      <c r="A7" s="1687"/>
      <c r="B7" s="1687"/>
      <c r="C7" s="1687"/>
      <c r="D7" s="1687"/>
      <c r="E7" s="1687"/>
      <c r="F7" s="1687"/>
      <c r="G7" s="1687"/>
      <c r="H7" s="1687"/>
      <c r="I7" s="1687"/>
      <c r="J7" s="1687"/>
    </row>
    <row r="8" spans="1:10" s="135" customFormat="1" ht="12.75" customHeight="1">
      <c r="A8" s="171"/>
      <c r="B8" s="171"/>
      <c r="C8" s="171"/>
      <c r="D8" s="171"/>
      <c r="E8" s="155"/>
      <c r="F8" s="155"/>
      <c r="G8" s="155"/>
      <c r="H8" s="155"/>
      <c r="I8" s="155"/>
      <c r="J8" s="155"/>
    </row>
    <row r="9" spans="2:9" s="135" customFormat="1" ht="12" customHeight="1" thickBot="1">
      <c r="B9" s="172"/>
      <c r="C9" s="172"/>
      <c r="D9" s="172"/>
      <c r="E9" s="173"/>
      <c r="F9" s="1713" t="s">
        <v>219</v>
      </c>
      <c r="G9" s="1713"/>
      <c r="H9" s="1713"/>
      <c r="I9" s="1713"/>
    </row>
    <row r="10" spans="1:10" s="135" customFormat="1" ht="48" customHeight="1">
      <c r="A10" s="1707" t="s">
        <v>156</v>
      </c>
      <c r="B10" s="1708"/>
      <c r="C10" s="619" t="s">
        <v>256</v>
      </c>
      <c r="D10" s="619" t="s">
        <v>257</v>
      </c>
      <c r="E10" s="570" t="s">
        <v>258</v>
      </c>
      <c r="F10" s="570" t="s">
        <v>793</v>
      </c>
      <c r="G10" s="570" t="s">
        <v>803</v>
      </c>
      <c r="H10" s="570" t="s">
        <v>885</v>
      </c>
      <c r="I10" s="570" t="s">
        <v>891</v>
      </c>
      <c r="J10" s="570" t="s">
        <v>947</v>
      </c>
    </row>
    <row r="11" spans="1:10" s="135" customFormat="1" ht="12.75" customHeight="1" thickBot="1">
      <c r="A11" s="1709"/>
      <c r="B11" s="1710"/>
      <c r="C11" s="620" t="s">
        <v>161</v>
      </c>
      <c r="D11" s="620" t="s">
        <v>162</v>
      </c>
      <c r="E11" s="573" t="s">
        <v>163</v>
      </c>
      <c r="F11" s="573" t="s">
        <v>164</v>
      </c>
      <c r="G11" s="573" t="s">
        <v>505</v>
      </c>
      <c r="H11" s="573" t="s">
        <v>525</v>
      </c>
      <c r="I11" s="573" t="s">
        <v>804</v>
      </c>
      <c r="J11" s="573" t="s">
        <v>890</v>
      </c>
    </row>
    <row r="12" spans="1:5" s="177" customFormat="1" ht="19.5" customHeight="1">
      <c r="A12" s="175" t="s">
        <v>38</v>
      </c>
      <c r="B12" s="176" t="s">
        <v>167</v>
      </c>
      <c r="C12" s="1711" t="s">
        <v>259</v>
      </c>
      <c r="D12" s="1711"/>
      <c r="E12" s="1711"/>
    </row>
    <row r="13" spans="1:10" s="143" customFormat="1" ht="12.75" customHeight="1">
      <c r="A13" s="175" t="s">
        <v>40</v>
      </c>
      <c r="B13" s="178">
        <v>1</v>
      </c>
      <c r="C13" s="13" t="s">
        <v>260</v>
      </c>
      <c r="D13" s="1040"/>
      <c r="E13" s="76">
        <v>673000</v>
      </c>
      <c r="F13" s="76">
        <v>673000</v>
      </c>
      <c r="G13" s="76">
        <v>673000</v>
      </c>
      <c r="H13" s="76">
        <v>673000</v>
      </c>
      <c r="I13" s="76">
        <v>673000</v>
      </c>
      <c r="J13" s="76">
        <v>673000</v>
      </c>
    </row>
    <row r="14" spans="1:10" s="135" customFormat="1" ht="12.75" customHeight="1">
      <c r="A14" s="180" t="s">
        <v>47</v>
      </c>
      <c r="B14" s="181"/>
      <c r="C14" s="140" t="s">
        <v>261</v>
      </c>
      <c r="D14" s="1038"/>
      <c r="E14" s="97">
        <v>673000</v>
      </c>
      <c r="F14" s="97">
        <v>673000</v>
      </c>
      <c r="G14" s="97">
        <v>673000</v>
      </c>
      <c r="H14" s="97">
        <v>673000</v>
      </c>
      <c r="I14" s="97">
        <v>673000</v>
      </c>
      <c r="J14" s="97">
        <v>673000</v>
      </c>
    </row>
    <row r="15" spans="1:10" s="135" customFormat="1" ht="12.75" customHeight="1">
      <c r="A15" s="175" t="s">
        <v>49</v>
      </c>
      <c r="B15" s="178">
        <v>2</v>
      </c>
      <c r="C15" s="13" t="s">
        <v>262</v>
      </c>
      <c r="D15" s="1040"/>
      <c r="E15" s="76">
        <f aca="true" t="shared" si="0" ref="E15:J15">E16</f>
        <v>551000</v>
      </c>
      <c r="F15" s="76">
        <f t="shared" si="0"/>
        <v>551000</v>
      </c>
      <c r="G15" s="76">
        <f t="shared" si="0"/>
        <v>551000</v>
      </c>
      <c r="H15" s="76">
        <f t="shared" si="0"/>
        <v>551000</v>
      </c>
      <c r="I15" s="76">
        <f t="shared" si="0"/>
        <v>551000</v>
      </c>
      <c r="J15" s="76">
        <f t="shared" si="0"/>
        <v>551000</v>
      </c>
    </row>
    <row r="16" spans="1:10" s="135" customFormat="1" ht="12.75" customHeight="1">
      <c r="A16" s="180" t="s">
        <v>51</v>
      </c>
      <c r="B16" s="181"/>
      <c r="C16" s="140" t="s">
        <v>261</v>
      </c>
      <c r="D16" s="1038"/>
      <c r="E16" s="97">
        <v>551000</v>
      </c>
      <c r="F16" s="97">
        <v>551000</v>
      </c>
      <c r="G16" s="97">
        <v>551000</v>
      </c>
      <c r="H16" s="97">
        <v>551000</v>
      </c>
      <c r="I16" s="97">
        <v>551000</v>
      </c>
      <c r="J16" s="97">
        <v>551000</v>
      </c>
    </row>
    <row r="17" spans="1:10" s="135" customFormat="1" ht="12.75" customHeight="1">
      <c r="A17" s="180" t="s">
        <v>53</v>
      </c>
      <c r="B17" s="181"/>
      <c r="C17" s="20" t="s">
        <v>263</v>
      </c>
      <c r="D17" s="1038"/>
      <c r="E17" s="97"/>
      <c r="F17" s="97"/>
      <c r="G17" s="97"/>
      <c r="H17" s="97"/>
      <c r="I17" s="97"/>
      <c r="J17" s="97"/>
    </row>
    <row r="18" spans="1:10" s="135" customFormat="1" ht="12.75" customHeight="1">
      <c r="A18" s="175" t="s">
        <v>55</v>
      </c>
      <c r="B18" s="178">
        <v>3</v>
      </c>
      <c r="C18" s="13" t="s">
        <v>267</v>
      </c>
      <c r="D18" s="1041"/>
      <c r="E18" s="76">
        <f aca="true" t="shared" si="1" ref="E18:J18">E19</f>
        <v>7000000</v>
      </c>
      <c r="F18" s="76">
        <f t="shared" si="1"/>
        <v>7000000</v>
      </c>
      <c r="G18" s="76">
        <f t="shared" si="1"/>
        <v>7000000</v>
      </c>
      <c r="H18" s="76">
        <f t="shared" si="1"/>
        <v>7000000</v>
      </c>
      <c r="I18" s="76">
        <f t="shared" si="1"/>
        <v>7000000</v>
      </c>
      <c r="J18" s="76">
        <f t="shared" si="1"/>
        <v>7000000</v>
      </c>
    </row>
    <row r="19" spans="1:10" s="135" customFormat="1" ht="12.75" customHeight="1">
      <c r="A19" s="180" t="s">
        <v>57</v>
      </c>
      <c r="B19" s="181"/>
      <c r="C19" s="140" t="s">
        <v>261</v>
      </c>
      <c r="D19" s="1039"/>
      <c r="E19" s="97">
        <v>7000000</v>
      </c>
      <c r="F19" s="97">
        <v>7000000</v>
      </c>
      <c r="G19" s="97">
        <v>7000000</v>
      </c>
      <c r="H19" s="97">
        <v>7000000</v>
      </c>
      <c r="I19" s="97">
        <v>7000000</v>
      </c>
      <c r="J19" s="97">
        <v>7000000</v>
      </c>
    </row>
    <row r="20" spans="1:10" s="135" customFormat="1" ht="12.75" customHeight="1">
      <c r="A20" s="175" t="s">
        <v>86</v>
      </c>
      <c r="B20" s="178">
        <v>4</v>
      </c>
      <c r="C20" s="13" t="s">
        <v>268</v>
      </c>
      <c r="D20" s="1041"/>
      <c r="E20" s="76">
        <v>100000</v>
      </c>
      <c r="F20" s="76">
        <v>100000</v>
      </c>
      <c r="G20" s="76">
        <v>100000</v>
      </c>
      <c r="H20" s="76">
        <v>100000</v>
      </c>
      <c r="I20" s="76">
        <v>100000</v>
      </c>
      <c r="J20" s="76">
        <v>100000</v>
      </c>
    </row>
    <row r="21" spans="1:10" s="135" customFormat="1" ht="12.75" customHeight="1">
      <c r="A21" s="180" t="s">
        <v>59</v>
      </c>
      <c r="B21" s="181"/>
      <c r="C21" s="140" t="s">
        <v>261</v>
      </c>
      <c r="D21" s="1039"/>
      <c r="E21" s="97">
        <v>100000</v>
      </c>
      <c r="F21" s="97">
        <v>100000</v>
      </c>
      <c r="G21" s="97">
        <v>100000</v>
      </c>
      <c r="H21" s="97">
        <v>100000</v>
      </c>
      <c r="I21" s="97">
        <v>100000</v>
      </c>
      <c r="J21" s="97">
        <v>100000</v>
      </c>
    </row>
    <row r="22" spans="1:10" s="135" customFormat="1" ht="12.75" customHeight="1">
      <c r="A22" s="175" t="s">
        <v>61</v>
      </c>
      <c r="B22" s="178">
        <v>5</v>
      </c>
      <c r="C22" s="13" t="s">
        <v>269</v>
      </c>
      <c r="D22" s="183">
        <v>3</v>
      </c>
      <c r="E22" s="76">
        <f aca="true" t="shared" si="2" ref="E22:J22">SUM(E23:E26)</f>
        <v>9368000</v>
      </c>
      <c r="F22" s="76">
        <f t="shared" si="2"/>
        <v>9702000</v>
      </c>
      <c r="G22" s="76">
        <f t="shared" si="2"/>
        <v>9702000</v>
      </c>
      <c r="H22" s="76">
        <f t="shared" si="2"/>
        <v>9702000</v>
      </c>
      <c r="I22" s="76">
        <f t="shared" si="2"/>
        <v>9748848</v>
      </c>
      <c r="J22" s="76">
        <f t="shared" si="2"/>
        <v>10005000</v>
      </c>
    </row>
    <row r="23" spans="1:10" s="135" customFormat="1" ht="12.75" customHeight="1">
      <c r="A23" s="180" t="s">
        <v>63</v>
      </c>
      <c r="B23" s="181"/>
      <c r="C23" s="140" t="s">
        <v>264</v>
      </c>
      <c r="D23" s="184"/>
      <c r="E23" s="97">
        <v>5197000</v>
      </c>
      <c r="F23" s="97">
        <v>5197000</v>
      </c>
      <c r="G23" s="97">
        <v>5197000</v>
      </c>
      <c r="H23" s="97">
        <v>5197000</v>
      </c>
      <c r="I23" s="97">
        <v>5197000</v>
      </c>
      <c r="J23" s="97">
        <v>5197000</v>
      </c>
    </row>
    <row r="24" spans="1:10" s="135" customFormat="1" ht="12.75" customHeight="1">
      <c r="A24" s="180" t="s">
        <v>65</v>
      </c>
      <c r="B24" s="181"/>
      <c r="C24" s="140" t="s">
        <v>265</v>
      </c>
      <c r="D24" s="184"/>
      <c r="E24" s="97">
        <v>1168000</v>
      </c>
      <c r="F24" s="97">
        <v>1168000</v>
      </c>
      <c r="G24" s="97">
        <v>1168000</v>
      </c>
      <c r="H24" s="97">
        <v>1168000</v>
      </c>
      <c r="I24" s="97">
        <v>1168000</v>
      </c>
      <c r="J24" s="97">
        <v>1168000</v>
      </c>
    </row>
    <row r="25" spans="1:10" s="135" customFormat="1" ht="12.75" customHeight="1">
      <c r="A25" s="180" t="s">
        <v>92</v>
      </c>
      <c r="B25" s="185"/>
      <c r="C25" s="158" t="s">
        <v>266</v>
      </c>
      <c r="D25" s="186"/>
      <c r="E25" s="97">
        <v>1000000</v>
      </c>
      <c r="F25" s="97">
        <v>1000000</v>
      </c>
      <c r="G25" s="97">
        <v>1000000</v>
      </c>
      <c r="H25" s="97">
        <v>1000000</v>
      </c>
      <c r="I25" s="97">
        <v>1000000</v>
      </c>
      <c r="J25" s="97">
        <v>1000000</v>
      </c>
    </row>
    <row r="26" spans="1:10" s="135" customFormat="1" ht="12.75" customHeight="1">
      <c r="A26" s="180" t="s">
        <v>66</v>
      </c>
      <c r="B26" s="185"/>
      <c r="C26" s="20" t="s">
        <v>270</v>
      </c>
      <c r="D26" s="186"/>
      <c r="E26" s="97">
        <v>2003000</v>
      </c>
      <c r="F26" s="97">
        <v>2337000</v>
      </c>
      <c r="G26" s="97">
        <v>2337000</v>
      </c>
      <c r="H26" s="97">
        <v>2337000</v>
      </c>
      <c r="I26" s="97">
        <v>2383848</v>
      </c>
      <c r="J26" s="97">
        <v>2640000</v>
      </c>
    </row>
    <row r="27" spans="1:10" s="135" customFormat="1" ht="12.75" customHeight="1">
      <c r="A27" s="180" t="s">
        <v>67</v>
      </c>
      <c r="B27" s="185"/>
      <c r="C27" s="20" t="s">
        <v>263</v>
      </c>
      <c r="D27" s="186"/>
      <c r="E27" s="97"/>
      <c r="F27" s="97"/>
      <c r="G27" s="97"/>
      <c r="H27" s="97"/>
      <c r="I27" s="97"/>
      <c r="J27" s="97"/>
    </row>
    <row r="28" spans="1:10" s="135" customFormat="1" ht="12.75" customHeight="1">
      <c r="A28" s="175" t="s">
        <v>68</v>
      </c>
      <c r="B28" s="187">
        <v>6</v>
      </c>
      <c r="C28" s="13" t="s">
        <v>271</v>
      </c>
      <c r="D28" s="188"/>
      <c r="E28" s="76">
        <f aca="true" t="shared" si="3" ref="E28:J28">SUM(E29:E31)</f>
        <v>200000</v>
      </c>
      <c r="F28" s="76">
        <f t="shared" si="3"/>
        <v>200000</v>
      </c>
      <c r="G28" s="76">
        <f t="shared" si="3"/>
        <v>200000</v>
      </c>
      <c r="H28" s="76">
        <f t="shared" si="3"/>
        <v>200000</v>
      </c>
      <c r="I28" s="76">
        <f t="shared" si="3"/>
        <v>200000</v>
      </c>
      <c r="J28" s="76">
        <f t="shared" si="3"/>
        <v>200000</v>
      </c>
    </row>
    <row r="29" spans="1:10" s="135" customFormat="1" ht="12.75" customHeight="1">
      <c r="A29" s="180" t="s">
        <v>70</v>
      </c>
      <c r="B29" s="185"/>
      <c r="C29" s="140" t="s">
        <v>272</v>
      </c>
      <c r="D29" s="184"/>
      <c r="E29" s="97"/>
      <c r="F29" s="97"/>
      <c r="G29" s="97"/>
      <c r="H29" s="97"/>
      <c r="I29" s="97"/>
      <c r="J29" s="97"/>
    </row>
    <row r="30" spans="1:10" s="135" customFormat="1" ht="12.75" customHeight="1">
      <c r="A30" s="180" t="s">
        <v>97</v>
      </c>
      <c r="B30" s="185"/>
      <c r="C30" s="140" t="s">
        <v>263</v>
      </c>
      <c r="D30" s="184"/>
      <c r="E30" s="97"/>
      <c r="F30" s="97"/>
      <c r="G30" s="97"/>
      <c r="H30" s="97"/>
      <c r="I30" s="97"/>
      <c r="J30" s="97"/>
    </row>
    <row r="31" spans="1:10" s="135" customFormat="1" ht="12.75" customHeight="1">
      <c r="A31" s="180" t="s">
        <v>99</v>
      </c>
      <c r="B31" s="185"/>
      <c r="C31" s="140" t="s">
        <v>266</v>
      </c>
      <c r="D31" s="184"/>
      <c r="E31" s="97">
        <v>200000</v>
      </c>
      <c r="F31" s="97">
        <v>200000</v>
      </c>
      <c r="G31" s="97">
        <v>200000</v>
      </c>
      <c r="H31" s="97">
        <v>200000</v>
      </c>
      <c r="I31" s="97">
        <v>200000</v>
      </c>
      <c r="J31" s="97">
        <v>200000</v>
      </c>
    </row>
    <row r="32" spans="1:10" s="135" customFormat="1" ht="12.75" customHeight="1">
      <c r="A32" s="175" t="s">
        <v>101</v>
      </c>
      <c r="B32" s="187">
        <v>7</v>
      </c>
      <c r="C32" s="13" t="s">
        <v>274</v>
      </c>
      <c r="D32" s="184"/>
      <c r="E32" s="76">
        <f aca="true" t="shared" si="4" ref="E32:J32">SUM(E33:E34)</f>
        <v>0</v>
      </c>
      <c r="F32" s="76">
        <f t="shared" si="4"/>
        <v>0</v>
      </c>
      <c r="G32" s="76">
        <f t="shared" si="4"/>
        <v>0</v>
      </c>
      <c r="H32" s="76">
        <f t="shared" si="4"/>
        <v>0</v>
      </c>
      <c r="I32" s="76">
        <f t="shared" si="4"/>
        <v>0</v>
      </c>
      <c r="J32" s="76">
        <f t="shared" si="4"/>
        <v>0</v>
      </c>
    </row>
    <row r="33" spans="1:10" s="135" customFormat="1" ht="12.75" customHeight="1">
      <c r="A33" s="180" t="s">
        <v>103</v>
      </c>
      <c r="B33" s="185"/>
      <c r="C33" s="140" t="s">
        <v>264</v>
      </c>
      <c r="D33" s="184"/>
      <c r="E33" s="97"/>
      <c r="F33" s="97"/>
      <c r="G33" s="97"/>
      <c r="H33" s="97"/>
      <c r="I33" s="97"/>
      <c r="J33" s="97"/>
    </row>
    <row r="34" spans="1:10" s="135" customFormat="1" ht="12.75" customHeight="1">
      <c r="A34" s="180" t="s">
        <v>105</v>
      </c>
      <c r="B34" s="185"/>
      <c r="C34" s="140" t="s">
        <v>265</v>
      </c>
      <c r="D34" s="184"/>
      <c r="E34" s="97"/>
      <c r="F34" s="97"/>
      <c r="G34" s="97"/>
      <c r="H34" s="97"/>
      <c r="I34" s="97"/>
      <c r="J34" s="97"/>
    </row>
    <row r="35" spans="1:10" s="135" customFormat="1" ht="12.75" customHeight="1">
      <c r="A35" s="180" t="s">
        <v>107</v>
      </c>
      <c r="B35" s="185"/>
      <c r="C35" s="20" t="s">
        <v>270</v>
      </c>
      <c r="D35" s="184"/>
      <c r="E35" s="97"/>
      <c r="F35" s="97"/>
      <c r="G35" s="97"/>
      <c r="H35" s="97"/>
      <c r="I35" s="97"/>
      <c r="J35" s="97"/>
    </row>
    <row r="36" spans="1:10" s="135" customFormat="1" ht="12.75" customHeight="1">
      <c r="A36" s="175" t="s">
        <v>109</v>
      </c>
      <c r="B36" s="187">
        <v>8</v>
      </c>
      <c r="C36" s="13" t="s">
        <v>275</v>
      </c>
      <c r="D36" s="184"/>
      <c r="E36" s="76">
        <f aca="true" t="shared" si="5" ref="E36:J36">SUM(E37:E40)</f>
        <v>26607089</v>
      </c>
      <c r="F36" s="76">
        <f t="shared" si="5"/>
        <v>29179089</v>
      </c>
      <c r="G36" s="76">
        <f t="shared" si="5"/>
        <v>31652291</v>
      </c>
      <c r="H36" s="76">
        <f t="shared" si="5"/>
        <v>31652291</v>
      </c>
      <c r="I36" s="76">
        <f t="shared" si="5"/>
        <v>32790000</v>
      </c>
      <c r="J36" s="76">
        <f t="shared" si="5"/>
        <v>31343308</v>
      </c>
    </row>
    <row r="37" spans="1:10" s="135" customFormat="1" ht="12.75" customHeight="1">
      <c r="A37" s="180" t="s">
        <v>111</v>
      </c>
      <c r="B37" s="185"/>
      <c r="C37" s="20" t="s">
        <v>270</v>
      </c>
      <c r="D37" s="189"/>
      <c r="E37" s="97">
        <v>7272000</v>
      </c>
      <c r="F37" s="97">
        <v>9844000</v>
      </c>
      <c r="G37" s="97">
        <v>9844000</v>
      </c>
      <c r="H37" s="97">
        <v>9844000</v>
      </c>
      <c r="I37" s="97">
        <v>9512000</v>
      </c>
      <c r="J37" s="97">
        <v>6283632</v>
      </c>
    </row>
    <row r="38" spans="1:10" s="135" customFormat="1" ht="12.75" customHeight="1">
      <c r="A38" s="180" t="s">
        <v>113</v>
      </c>
      <c r="B38" s="185"/>
      <c r="C38" s="20" t="s">
        <v>676</v>
      </c>
      <c r="D38" s="189"/>
      <c r="E38" s="97">
        <v>16435089</v>
      </c>
      <c r="F38" s="97">
        <v>16435089</v>
      </c>
      <c r="G38" s="97">
        <v>18558291</v>
      </c>
      <c r="H38" s="97">
        <v>18558291</v>
      </c>
      <c r="I38" s="97">
        <v>20278000</v>
      </c>
      <c r="J38" s="97">
        <v>22651608</v>
      </c>
    </row>
    <row r="39" spans="1:10" s="135" customFormat="1" ht="12.75" customHeight="1">
      <c r="A39" s="180" t="s">
        <v>115</v>
      </c>
      <c r="B39" s="185"/>
      <c r="C39" s="20" t="s">
        <v>677</v>
      </c>
      <c r="D39" s="189"/>
      <c r="E39" s="97">
        <v>2000000</v>
      </c>
      <c r="F39" s="97">
        <v>2000000</v>
      </c>
      <c r="G39" s="97">
        <v>2350000</v>
      </c>
      <c r="H39" s="97">
        <v>2350000</v>
      </c>
      <c r="I39" s="97">
        <v>2450000</v>
      </c>
      <c r="J39" s="97">
        <v>2360424</v>
      </c>
    </row>
    <row r="40" spans="1:10" s="135" customFormat="1" ht="12.75" customHeight="1">
      <c r="A40" s="180" t="s">
        <v>117</v>
      </c>
      <c r="B40" s="185"/>
      <c r="C40" s="20" t="s">
        <v>678</v>
      </c>
      <c r="D40" s="189"/>
      <c r="E40" s="97">
        <v>900000</v>
      </c>
      <c r="F40" s="97">
        <v>900000</v>
      </c>
      <c r="G40" s="97">
        <v>900000</v>
      </c>
      <c r="H40" s="97">
        <v>900000</v>
      </c>
      <c r="I40" s="97">
        <v>550000</v>
      </c>
      <c r="J40" s="97">
        <v>47644</v>
      </c>
    </row>
    <row r="41" spans="1:10" s="135" customFormat="1" ht="12.75" customHeight="1">
      <c r="A41" s="180" t="s">
        <v>118</v>
      </c>
      <c r="B41" s="185"/>
      <c r="C41" s="20" t="s">
        <v>679</v>
      </c>
      <c r="D41" s="189"/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4659500</v>
      </c>
    </row>
    <row r="42" spans="1:10" s="135" customFormat="1" ht="12" customHeight="1">
      <c r="A42" s="175" t="s">
        <v>120</v>
      </c>
      <c r="B42" s="187">
        <v>9</v>
      </c>
      <c r="C42" s="13" t="s">
        <v>278</v>
      </c>
      <c r="D42" s="189"/>
      <c r="E42" s="76">
        <v>3200000</v>
      </c>
      <c r="F42" s="76">
        <v>3200000</v>
      </c>
      <c r="G42" s="76">
        <v>3200000</v>
      </c>
      <c r="H42" s="76">
        <v>3200000</v>
      </c>
      <c r="I42" s="76">
        <v>3071000</v>
      </c>
      <c r="J42" s="76">
        <f>SUM(J43:J50)</f>
        <v>4659500</v>
      </c>
    </row>
    <row r="43" spans="1:10" s="6" customFormat="1" ht="12" customHeight="1">
      <c r="A43" s="180" t="s">
        <v>122</v>
      </c>
      <c r="B43" s="185"/>
      <c r="C43" s="140" t="s">
        <v>918</v>
      </c>
      <c r="D43" s="189"/>
      <c r="E43" s="866"/>
      <c r="F43" s="866"/>
      <c r="G43" s="866"/>
      <c r="H43" s="866"/>
      <c r="I43" s="866">
        <v>71000</v>
      </c>
      <c r="J43" s="866">
        <v>71000</v>
      </c>
    </row>
    <row r="44" spans="1:10" s="135" customFormat="1" ht="12.75" customHeight="1">
      <c r="A44" s="180" t="s">
        <v>124</v>
      </c>
      <c r="B44" s="185"/>
      <c r="C44" s="20" t="s">
        <v>680</v>
      </c>
      <c r="D44" s="189"/>
      <c r="E44" s="97"/>
      <c r="F44" s="97"/>
      <c r="G44" s="97"/>
      <c r="H44" s="97"/>
      <c r="I44" s="97">
        <v>0</v>
      </c>
      <c r="J44" s="97">
        <v>0</v>
      </c>
    </row>
    <row r="45" spans="1:10" s="135" customFormat="1" ht="12.75" customHeight="1">
      <c r="A45" s="180" t="s">
        <v>126</v>
      </c>
      <c r="B45" s="185"/>
      <c r="C45" s="140" t="s">
        <v>729</v>
      </c>
      <c r="D45" s="189"/>
      <c r="E45" s="97">
        <v>1500000</v>
      </c>
      <c r="F45" s="97">
        <v>1500000</v>
      </c>
      <c r="G45" s="97">
        <v>1500000</v>
      </c>
      <c r="H45" s="97">
        <v>1500000</v>
      </c>
      <c r="I45" s="97">
        <v>0</v>
      </c>
      <c r="J45" s="97">
        <v>0</v>
      </c>
    </row>
    <row r="46" spans="1:10" s="625" customFormat="1" ht="12.75" customHeight="1">
      <c r="A46" s="621" t="s">
        <v>128</v>
      </c>
      <c r="B46" s="622"/>
      <c r="C46" s="623" t="s">
        <v>681</v>
      </c>
      <c r="D46" s="624"/>
      <c r="E46" s="71"/>
      <c r="F46" s="71"/>
      <c r="G46" s="71"/>
      <c r="H46" s="71"/>
      <c r="I46" s="71"/>
      <c r="J46" s="71"/>
    </row>
    <row r="47" spans="1:10" s="625" customFormat="1" ht="12.75" customHeight="1">
      <c r="A47" s="621" t="s">
        <v>130</v>
      </c>
      <c r="B47" s="622"/>
      <c r="C47" s="623" t="s">
        <v>683</v>
      </c>
      <c r="D47" s="624"/>
      <c r="E47" s="71"/>
      <c r="F47" s="71"/>
      <c r="G47" s="71"/>
      <c r="H47" s="71"/>
      <c r="I47" s="71"/>
      <c r="J47" s="71"/>
    </row>
    <row r="48" spans="1:10" s="625" customFormat="1" ht="12.75" customHeight="1">
      <c r="A48" s="621" t="s">
        <v>131</v>
      </c>
      <c r="B48" s="622"/>
      <c r="C48" s="623" t="s">
        <v>682</v>
      </c>
      <c r="D48" s="624"/>
      <c r="E48" s="71">
        <v>1500000</v>
      </c>
      <c r="F48" s="71">
        <v>1500000</v>
      </c>
      <c r="G48" s="71">
        <v>1500000</v>
      </c>
      <c r="H48" s="71">
        <v>1500000</v>
      </c>
      <c r="I48" s="71">
        <v>0</v>
      </c>
      <c r="J48" s="71">
        <v>0</v>
      </c>
    </row>
    <row r="49" spans="1:10" s="135" customFormat="1" ht="12.75" customHeight="1">
      <c r="A49" s="180" t="s">
        <v>133</v>
      </c>
      <c r="B49" s="185"/>
      <c r="C49" s="140" t="s">
        <v>684</v>
      </c>
      <c r="D49" s="189"/>
      <c r="E49" s="97"/>
      <c r="F49" s="97"/>
      <c r="G49" s="97"/>
      <c r="H49" s="97"/>
      <c r="I49" s="97"/>
      <c r="J49" s="97"/>
    </row>
    <row r="50" spans="1:10" s="135" customFormat="1" ht="12.75" customHeight="1">
      <c r="A50" s="180" t="s">
        <v>135</v>
      </c>
      <c r="B50" s="185"/>
      <c r="C50" s="140" t="s">
        <v>685</v>
      </c>
      <c r="D50" s="189"/>
      <c r="E50" s="97">
        <v>1700000</v>
      </c>
      <c r="F50" s="97">
        <v>1700000</v>
      </c>
      <c r="G50" s="97">
        <v>1700000</v>
      </c>
      <c r="H50" s="97">
        <v>1700000</v>
      </c>
      <c r="I50" s="97">
        <v>3000000</v>
      </c>
      <c r="J50" s="97">
        <v>4588500</v>
      </c>
    </row>
    <row r="51" spans="1:10" s="625" customFormat="1" ht="12.75" customHeight="1">
      <c r="A51" s="621" t="s">
        <v>137</v>
      </c>
      <c r="B51" s="622"/>
      <c r="C51" s="623" t="s">
        <v>686</v>
      </c>
      <c r="D51" s="624"/>
      <c r="E51" s="71">
        <v>540000</v>
      </c>
      <c r="F51" s="71">
        <v>540000</v>
      </c>
      <c r="G51" s="71">
        <v>540000</v>
      </c>
      <c r="H51" s="71">
        <v>540000</v>
      </c>
      <c r="I51" s="71">
        <v>1320000</v>
      </c>
      <c r="J51" s="71">
        <v>502500</v>
      </c>
    </row>
    <row r="52" spans="1:10" s="625" customFormat="1" ht="12.75" customHeight="1">
      <c r="A52" s="621" t="s">
        <v>139</v>
      </c>
      <c r="B52" s="622"/>
      <c r="C52" s="623" t="s">
        <v>781</v>
      </c>
      <c r="D52" s="626"/>
      <c r="E52" s="71">
        <v>60000</v>
      </c>
      <c r="F52" s="71">
        <v>60000</v>
      </c>
      <c r="G52" s="71">
        <v>60000</v>
      </c>
      <c r="H52" s="71">
        <v>60000</v>
      </c>
      <c r="I52" s="71">
        <v>60000</v>
      </c>
      <c r="J52" s="71">
        <v>40000</v>
      </c>
    </row>
    <row r="53" spans="1:10" s="625" customFormat="1" ht="12.75" customHeight="1">
      <c r="A53" s="621" t="s">
        <v>141</v>
      </c>
      <c r="B53" s="622"/>
      <c r="C53" s="623" t="s">
        <v>688</v>
      </c>
      <c r="D53" s="626"/>
      <c r="E53" s="71">
        <v>980000</v>
      </c>
      <c r="F53" s="71">
        <v>980000</v>
      </c>
      <c r="G53" s="71">
        <v>980000</v>
      </c>
      <c r="H53" s="71">
        <v>980000</v>
      </c>
      <c r="I53" s="71">
        <v>1500000</v>
      </c>
      <c r="J53" s="71">
        <v>4026000</v>
      </c>
    </row>
    <row r="54" spans="1:10" s="625" customFormat="1" ht="12.75" customHeight="1">
      <c r="A54" s="621" t="s">
        <v>143</v>
      </c>
      <c r="B54" s="622"/>
      <c r="C54" s="623" t="s">
        <v>689</v>
      </c>
      <c r="D54" s="626"/>
      <c r="E54" s="71">
        <v>120000</v>
      </c>
      <c r="F54" s="71">
        <v>120000</v>
      </c>
      <c r="G54" s="71">
        <v>120000</v>
      </c>
      <c r="H54" s="71">
        <v>120000</v>
      </c>
      <c r="I54" s="71">
        <v>120000</v>
      </c>
      <c r="J54" s="71">
        <v>20000</v>
      </c>
    </row>
    <row r="55" spans="1:10" s="135" customFormat="1" ht="12.75" customHeight="1">
      <c r="A55" s="175" t="s">
        <v>145</v>
      </c>
      <c r="B55" s="145">
        <v>10</v>
      </c>
      <c r="C55" s="10" t="s">
        <v>280</v>
      </c>
      <c r="D55" s="182">
        <v>1</v>
      </c>
      <c r="E55" s="76">
        <f aca="true" t="shared" si="6" ref="E55:J55">SUM(E56:E61)</f>
        <v>121747399</v>
      </c>
      <c r="F55" s="76">
        <f t="shared" si="6"/>
        <v>125247503</v>
      </c>
      <c r="G55" s="76">
        <f t="shared" si="6"/>
        <v>125222961</v>
      </c>
      <c r="H55" s="76">
        <f t="shared" si="6"/>
        <v>125222961</v>
      </c>
      <c r="I55" s="76">
        <f t="shared" si="6"/>
        <v>491036586</v>
      </c>
      <c r="J55" s="76">
        <f t="shared" si="6"/>
        <v>833281596</v>
      </c>
    </row>
    <row r="56" spans="1:10" s="135" customFormat="1" ht="12.75" customHeight="1">
      <c r="A56" s="180" t="s">
        <v>147</v>
      </c>
      <c r="B56" s="149"/>
      <c r="C56" s="20" t="s">
        <v>264</v>
      </c>
      <c r="D56" s="190"/>
      <c r="E56" s="97">
        <v>15662000</v>
      </c>
      <c r="F56" s="97">
        <v>15893100</v>
      </c>
      <c r="G56" s="97">
        <v>16667922</v>
      </c>
      <c r="H56" s="97">
        <v>16667922</v>
      </c>
      <c r="I56" s="97">
        <v>18475001</v>
      </c>
      <c r="J56" s="97">
        <v>21721127</v>
      </c>
    </row>
    <row r="57" spans="1:10" s="135" customFormat="1" ht="12.75" customHeight="1">
      <c r="A57" s="180" t="s">
        <v>149</v>
      </c>
      <c r="B57" s="149"/>
      <c r="C57" s="140" t="s">
        <v>265</v>
      </c>
      <c r="D57" s="190"/>
      <c r="E57" s="97">
        <v>3466000</v>
      </c>
      <c r="F57" s="97">
        <v>3466000</v>
      </c>
      <c r="G57" s="97">
        <v>3669143</v>
      </c>
      <c r="H57" s="97">
        <v>3669143</v>
      </c>
      <c r="I57" s="97">
        <v>4066700</v>
      </c>
      <c r="J57" s="97">
        <v>4347431</v>
      </c>
    </row>
    <row r="58" spans="1:10" s="135" customFormat="1" ht="12.75" customHeight="1">
      <c r="A58" s="180" t="s">
        <v>151</v>
      </c>
      <c r="B58" s="149"/>
      <c r="C58" s="147" t="s">
        <v>266</v>
      </c>
      <c r="D58" s="190"/>
      <c r="E58" s="97">
        <v>35299060</v>
      </c>
      <c r="F58" s="97">
        <v>31848564</v>
      </c>
      <c r="G58" s="97">
        <v>31676180</v>
      </c>
      <c r="H58" s="97">
        <v>31676180</v>
      </c>
      <c r="I58" s="97">
        <v>60090702</v>
      </c>
      <c r="J58" s="97">
        <v>54640195</v>
      </c>
    </row>
    <row r="59" spans="1:10" s="135" customFormat="1" ht="15" customHeight="1">
      <c r="A59" s="180" t="s">
        <v>209</v>
      </c>
      <c r="B59" s="149"/>
      <c r="C59" s="20" t="s">
        <v>263</v>
      </c>
      <c r="D59" s="190"/>
      <c r="E59" s="97">
        <v>26242174</v>
      </c>
      <c r="F59" s="97">
        <v>21185174</v>
      </c>
      <c r="G59" s="97">
        <v>25930687</v>
      </c>
      <c r="H59" s="97">
        <v>25930687</v>
      </c>
      <c r="I59" s="97">
        <v>361071666</v>
      </c>
      <c r="J59" s="97">
        <v>37258268</v>
      </c>
    </row>
    <row r="60" spans="1:10" s="135" customFormat="1" ht="15" customHeight="1">
      <c r="A60" s="180" t="s">
        <v>211</v>
      </c>
      <c r="B60" s="149"/>
      <c r="C60" s="20" t="s">
        <v>931</v>
      </c>
      <c r="D60" s="190"/>
      <c r="E60" s="97"/>
      <c r="F60" s="97"/>
      <c r="G60" s="97"/>
      <c r="H60" s="97"/>
      <c r="I60" s="97">
        <v>53488</v>
      </c>
      <c r="J60" s="97">
        <v>53488</v>
      </c>
    </row>
    <row r="61" spans="1:10" s="135" customFormat="1" ht="15" customHeight="1">
      <c r="A61" s="180" t="s">
        <v>279</v>
      </c>
      <c r="B61" s="149"/>
      <c r="C61" s="20" t="s">
        <v>457</v>
      </c>
      <c r="D61" s="190"/>
      <c r="E61" s="97">
        <v>41078165</v>
      </c>
      <c r="F61" s="97">
        <v>52854665</v>
      </c>
      <c r="G61" s="97">
        <v>47279029</v>
      </c>
      <c r="H61" s="97">
        <v>47279029</v>
      </c>
      <c r="I61" s="97">
        <v>47279029</v>
      </c>
      <c r="J61" s="97">
        <v>715261087</v>
      </c>
    </row>
    <row r="62" spans="1:70" s="191" customFormat="1" ht="15.75" customHeight="1">
      <c r="A62" s="175" t="s">
        <v>212</v>
      </c>
      <c r="B62" s="145">
        <v>11</v>
      </c>
      <c r="C62" s="192" t="s">
        <v>308</v>
      </c>
      <c r="D62" s="182"/>
      <c r="E62" s="76">
        <f>SUM(E63:E64)</f>
        <v>6401277</v>
      </c>
      <c r="F62" s="76">
        <v>7745538</v>
      </c>
      <c r="G62" s="76">
        <v>8502671</v>
      </c>
      <c r="H62" s="76">
        <f>SUM(H64)</f>
        <v>8502671</v>
      </c>
      <c r="I62" s="76">
        <f>SUM(I64)</f>
        <v>9473678</v>
      </c>
      <c r="J62" s="76">
        <f>SUM(J64)</f>
        <v>10321373</v>
      </c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</row>
    <row r="63" spans="1:10" s="135" customFormat="1" ht="15" customHeight="1">
      <c r="A63" s="180" t="s">
        <v>214</v>
      </c>
      <c r="B63" s="149"/>
      <c r="C63" s="20" t="s">
        <v>691</v>
      </c>
      <c r="D63" s="190"/>
      <c r="E63" s="97"/>
      <c r="F63" s="97"/>
      <c r="G63" s="97"/>
      <c r="H63" s="97"/>
      <c r="I63" s="97"/>
      <c r="J63" s="97"/>
    </row>
    <row r="64" spans="1:10" s="135" customFormat="1" ht="15" customHeight="1">
      <c r="A64" s="180" t="s">
        <v>281</v>
      </c>
      <c r="B64" s="149"/>
      <c r="C64" s="20" t="s">
        <v>690</v>
      </c>
      <c r="D64" s="190"/>
      <c r="E64" s="97">
        <v>6401277</v>
      </c>
      <c r="F64" s="97">
        <v>7745538</v>
      </c>
      <c r="G64" s="97">
        <v>8502671</v>
      </c>
      <c r="H64" s="97">
        <v>8502671</v>
      </c>
      <c r="I64" s="97">
        <v>9473678</v>
      </c>
      <c r="J64" s="97">
        <v>10321373</v>
      </c>
    </row>
    <row r="65" spans="1:10" s="143" customFormat="1" ht="15" customHeight="1">
      <c r="A65" s="175" t="s">
        <v>282</v>
      </c>
      <c r="B65" s="145">
        <v>12</v>
      </c>
      <c r="C65" s="13" t="s">
        <v>692</v>
      </c>
      <c r="D65" s="217"/>
      <c r="E65" s="76">
        <f aca="true" t="shared" si="7" ref="E65:J65">SUM(E66)</f>
        <v>281359235</v>
      </c>
      <c r="F65" s="76">
        <f t="shared" si="7"/>
        <v>277111346</v>
      </c>
      <c r="G65" s="76">
        <f t="shared" si="7"/>
        <v>277712085</v>
      </c>
      <c r="H65" s="76">
        <f t="shared" si="7"/>
        <v>277712085</v>
      </c>
      <c r="I65" s="76">
        <f t="shared" si="7"/>
        <v>278048647</v>
      </c>
      <c r="J65" s="76">
        <f t="shared" si="7"/>
        <v>270216255</v>
      </c>
    </row>
    <row r="66" spans="1:70" s="191" customFormat="1" ht="15.75" customHeight="1">
      <c r="A66" s="247" t="s">
        <v>283</v>
      </c>
      <c r="B66" s="233"/>
      <c r="C66" s="500" t="s">
        <v>310</v>
      </c>
      <c r="D66" s="299"/>
      <c r="E66" s="216">
        <f>SUM('19 önkormányzat'!F116)</f>
        <v>281359235</v>
      </c>
      <c r="F66" s="216">
        <f>SUM('19 önkormányzat'!G116)</f>
        <v>277111346</v>
      </c>
      <c r="G66" s="216">
        <f>SUM('19 önkormányzat'!H116)</f>
        <v>277712085</v>
      </c>
      <c r="H66" s="216">
        <f>SUM('19 önkormányzat'!I116)</f>
        <v>277712085</v>
      </c>
      <c r="I66" s="216">
        <f>SUM('19 önkormányzat'!J116)</f>
        <v>278048647</v>
      </c>
      <c r="J66" s="216">
        <f>SUM('19 önkormányzat'!K116)</f>
        <v>270216255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</row>
    <row r="67" spans="1:70" s="135" customFormat="1" ht="12.75" customHeight="1">
      <c r="A67" s="627" t="s">
        <v>284</v>
      </c>
      <c r="B67" s="628"/>
      <c r="C67" s="629" t="s">
        <v>244</v>
      </c>
      <c r="D67" s="630">
        <v>4</v>
      </c>
      <c r="E67" s="631">
        <f aca="true" t="shared" si="8" ref="E67:J67">SUM(E68:E77)</f>
        <v>457207000</v>
      </c>
      <c r="F67" s="631">
        <f t="shared" si="8"/>
        <v>460709476</v>
      </c>
      <c r="G67" s="631">
        <f t="shared" si="8"/>
        <v>464516008</v>
      </c>
      <c r="H67" s="631">
        <f t="shared" si="8"/>
        <v>464516008</v>
      </c>
      <c r="I67" s="631">
        <f t="shared" si="8"/>
        <v>832692759</v>
      </c>
      <c r="J67" s="631">
        <f t="shared" si="8"/>
        <v>1168351032</v>
      </c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</row>
    <row r="68" spans="1:70" s="135" customFormat="1" ht="12.75" customHeight="1">
      <c r="A68" s="628" t="s">
        <v>286</v>
      </c>
      <c r="B68" s="628"/>
      <c r="C68" s="632" t="s">
        <v>264</v>
      </c>
      <c r="D68" s="633"/>
      <c r="E68" s="634">
        <f aca="true" t="shared" si="9" ref="E68:J68">SUM(E23+E29+E33+E56)</f>
        <v>20859000</v>
      </c>
      <c r="F68" s="634">
        <f t="shared" si="9"/>
        <v>21090100</v>
      </c>
      <c r="G68" s="634">
        <f t="shared" si="9"/>
        <v>21864922</v>
      </c>
      <c r="H68" s="634">
        <f t="shared" si="9"/>
        <v>21864922</v>
      </c>
      <c r="I68" s="634">
        <f t="shared" si="9"/>
        <v>23672001</v>
      </c>
      <c r="J68" s="634">
        <f t="shared" si="9"/>
        <v>26918127</v>
      </c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</row>
    <row r="69" spans="1:70" s="135" customFormat="1" ht="12.75" customHeight="1">
      <c r="A69" s="628" t="s">
        <v>288</v>
      </c>
      <c r="B69" s="628"/>
      <c r="C69" s="632" t="s">
        <v>265</v>
      </c>
      <c r="D69" s="633"/>
      <c r="E69" s="634">
        <f aca="true" t="shared" si="10" ref="E69:J69">SUM(E24+E34+E57)</f>
        <v>4634000</v>
      </c>
      <c r="F69" s="634">
        <f t="shared" si="10"/>
        <v>4634000</v>
      </c>
      <c r="G69" s="634">
        <f t="shared" si="10"/>
        <v>4837143</v>
      </c>
      <c r="H69" s="634">
        <f t="shared" si="10"/>
        <v>4837143</v>
      </c>
      <c r="I69" s="634">
        <f t="shared" si="10"/>
        <v>5234700</v>
      </c>
      <c r="J69" s="634">
        <f t="shared" si="10"/>
        <v>5515431</v>
      </c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</row>
    <row r="70" spans="1:70" s="135" customFormat="1" ht="12.75" customHeight="1">
      <c r="A70" s="628" t="s">
        <v>290</v>
      </c>
      <c r="B70" s="628"/>
      <c r="C70" s="632" t="s">
        <v>266</v>
      </c>
      <c r="D70" s="633"/>
      <c r="E70" s="634">
        <f>SUM(E14+E16+E19+E21+E25+E31+E58)</f>
        <v>44823060</v>
      </c>
      <c r="F70" s="634">
        <f>SUM(F14+F16+F19+F21+F25+F31+F58)</f>
        <v>41372564</v>
      </c>
      <c r="G70" s="634">
        <f>SUM(G14+G16+G19+G21+G25+G31+G58)</f>
        <v>41200180</v>
      </c>
      <c r="H70" s="634">
        <f>SUM(H14+H16+H19+H21+H25+H31+H58)</f>
        <v>41200180</v>
      </c>
      <c r="I70" s="634">
        <f>SUM(I14+I16+I19+I21+I25+I31+I58)</f>
        <v>69614702</v>
      </c>
      <c r="J70" s="634">
        <v>64164195</v>
      </c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</row>
    <row r="71" spans="1:14" s="135" customFormat="1" ht="12.75" customHeight="1">
      <c r="A71" s="628" t="s">
        <v>292</v>
      </c>
      <c r="B71" s="628"/>
      <c r="C71" s="632" t="s">
        <v>270</v>
      </c>
      <c r="D71" s="633"/>
      <c r="E71" s="634">
        <v>28610089</v>
      </c>
      <c r="F71" s="1169">
        <v>31516089</v>
      </c>
      <c r="G71" s="1169">
        <v>33989291</v>
      </c>
      <c r="H71" s="1169">
        <v>33989291</v>
      </c>
      <c r="I71" s="1169">
        <v>35173848</v>
      </c>
      <c r="J71" s="1169">
        <v>33983308</v>
      </c>
      <c r="K71" s="56"/>
      <c r="L71" s="56"/>
      <c r="M71" s="56"/>
      <c r="N71" s="56"/>
    </row>
    <row r="72" spans="1:14" s="135" customFormat="1" ht="12.75" customHeight="1">
      <c r="A72" s="628" t="s">
        <v>294</v>
      </c>
      <c r="B72" s="628"/>
      <c r="C72" s="632" t="s">
        <v>317</v>
      </c>
      <c r="D72" s="632"/>
      <c r="E72" s="634">
        <f>SUM(E42)</f>
        <v>3200000</v>
      </c>
      <c r="F72" s="634">
        <f>SUM(F42)</f>
        <v>3200000</v>
      </c>
      <c r="G72" s="634">
        <f>SUM(G42)</f>
        <v>3200000</v>
      </c>
      <c r="H72" s="634">
        <f>SUM(H42)</f>
        <v>3200000</v>
      </c>
      <c r="I72" s="634">
        <f>SUM(I42)</f>
        <v>3071000</v>
      </c>
      <c r="J72" s="634">
        <v>4659500</v>
      </c>
      <c r="K72" s="56"/>
      <c r="L72" s="56"/>
      <c r="M72" s="56"/>
      <c r="N72" s="56"/>
    </row>
    <row r="73" spans="1:14" s="135" customFormat="1" ht="12.75" customHeight="1">
      <c r="A73" s="628" t="s">
        <v>296</v>
      </c>
      <c r="B73" s="628"/>
      <c r="C73" s="632" t="s">
        <v>319</v>
      </c>
      <c r="D73" s="632"/>
      <c r="E73" s="634">
        <f aca="true" t="shared" si="11" ref="E73:J73">SUM(E17+E27+E30+E59)</f>
        <v>26242174</v>
      </c>
      <c r="F73" s="634">
        <f t="shared" si="11"/>
        <v>21185174</v>
      </c>
      <c r="G73" s="634">
        <f t="shared" si="11"/>
        <v>25930687</v>
      </c>
      <c r="H73" s="634">
        <f t="shared" si="11"/>
        <v>25930687</v>
      </c>
      <c r="I73" s="634">
        <f t="shared" si="11"/>
        <v>361071666</v>
      </c>
      <c r="J73" s="634">
        <f t="shared" si="11"/>
        <v>37258268</v>
      </c>
      <c r="K73" s="56"/>
      <c r="L73" s="56"/>
      <c r="M73" s="56"/>
      <c r="N73" s="56"/>
    </row>
    <row r="74" spans="1:14" s="135" customFormat="1" ht="12.75" customHeight="1">
      <c r="A74" s="628" t="s">
        <v>297</v>
      </c>
      <c r="B74" s="628"/>
      <c r="C74" s="632" t="s">
        <v>321</v>
      </c>
      <c r="D74" s="632"/>
      <c r="E74" s="634">
        <f>SUM(E66)</f>
        <v>281359235</v>
      </c>
      <c r="F74" s="634">
        <f>SUM(F66)</f>
        <v>277111346</v>
      </c>
      <c r="G74" s="634">
        <f>SUM(G66)</f>
        <v>277712085</v>
      </c>
      <c r="H74" s="634">
        <f>SUM(H66)</f>
        <v>277712085</v>
      </c>
      <c r="I74" s="634">
        <f>SUM(I66)</f>
        <v>278048647</v>
      </c>
      <c r="J74" s="634">
        <v>270216255</v>
      </c>
      <c r="K74" s="56"/>
      <c r="L74" s="56"/>
      <c r="M74" s="56"/>
      <c r="N74" s="56"/>
    </row>
    <row r="75" spans="1:10" s="135" customFormat="1" ht="12.75" customHeight="1">
      <c r="A75" s="628" t="s">
        <v>298</v>
      </c>
      <c r="B75" s="628"/>
      <c r="C75" s="632" t="s">
        <v>287</v>
      </c>
      <c r="D75" s="632"/>
      <c r="E75" s="634">
        <f aca="true" t="shared" si="12" ref="E75:J75">SUM(E64)</f>
        <v>6401277</v>
      </c>
      <c r="F75" s="634">
        <f t="shared" si="12"/>
        <v>7745538</v>
      </c>
      <c r="G75" s="634">
        <f t="shared" si="12"/>
        <v>8502671</v>
      </c>
      <c r="H75" s="634">
        <f t="shared" si="12"/>
        <v>8502671</v>
      </c>
      <c r="I75" s="634">
        <f t="shared" si="12"/>
        <v>9473678</v>
      </c>
      <c r="J75" s="634">
        <f t="shared" si="12"/>
        <v>10321373</v>
      </c>
    </row>
    <row r="76" spans="1:10" s="135" customFormat="1" ht="14.25" customHeight="1">
      <c r="A76" s="628" t="s">
        <v>299</v>
      </c>
      <c r="B76" s="628"/>
      <c r="C76" s="632" t="s">
        <v>150</v>
      </c>
      <c r="D76" s="632"/>
      <c r="E76" s="634">
        <f aca="true" t="shared" si="13" ref="E76:J76">SUM(E61)</f>
        <v>41078165</v>
      </c>
      <c r="F76" s="634">
        <f t="shared" si="13"/>
        <v>52854665</v>
      </c>
      <c r="G76" s="634">
        <f t="shared" si="13"/>
        <v>47279029</v>
      </c>
      <c r="H76" s="634">
        <f t="shared" si="13"/>
        <v>47279029</v>
      </c>
      <c r="I76" s="634">
        <f t="shared" si="13"/>
        <v>47279029</v>
      </c>
      <c r="J76" s="634">
        <f t="shared" si="13"/>
        <v>715261087</v>
      </c>
    </row>
    <row r="77" spans="1:10" s="135" customFormat="1" ht="14.25" customHeight="1">
      <c r="A77" s="628" t="s">
        <v>301</v>
      </c>
      <c r="B77" s="628"/>
      <c r="C77" s="632" t="s">
        <v>293</v>
      </c>
      <c r="D77" s="632"/>
      <c r="E77" s="634">
        <f>SUM(E63)</f>
        <v>0</v>
      </c>
      <c r="F77" s="634">
        <f>SUM(F63)</f>
        <v>0</v>
      </c>
      <c r="G77" s="634">
        <f>SUM(G63)</f>
        <v>0</v>
      </c>
      <c r="H77" s="634">
        <f>SUM(H63)</f>
        <v>0</v>
      </c>
      <c r="I77" s="634">
        <v>53488</v>
      </c>
      <c r="J77" s="634">
        <v>53488</v>
      </c>
    </row>
    <row r="78" spans="1:5" s="111" customFormat="1" ht="18" customHeight="1">
      <c r="A78" s="175" t="s">
        <v>302</v>
      </c>
      <c r="B78" s="212" t="s">
        <v>169</v>
      </c>
      <c r="C78" s="1712" t="s">
        <v>327</v>
      </c>
      <c r="D78" s="1712"/>
      <c r="E78" s="1712"/>
    </row>
    <row r="79" spans="1:10" s="135" customFormat="1" ht="12.75" customHeight="1">
      <c r="A79" s="175" t="s">
        <v>303</v>
      </c>
      <c r="B79" s="197" t="s">
        <v>38</v>
      </c>
      <c r="C79" s="198" t="s">
        <v>280</v>
      </c>
      <c r="D79" s="199">
        <v>15</v>
      </c>
      <c r="E79" s="76">
        <f aca="true" t="shared" si="14" ref="E79:J79">SUM(E80:E83)</f>
        <v>81891000</v>
      </c>
      <c r="F79" s="76">
        <f t="shared" si="14"/>
        <v>81891000</v>
      </c>
      <c r="G79" s="76">
        <f t="shared" si="14"/>
        <v>81907510</v>
      </c>
      <c r="H79" s="76">
        <f t="shared" si="14"/>
        <v>81907510</v>
      </c>
      <c r="I79" s="76">
        <f t="shared" si="14"/>
        <v>81907510</v>
      </c>
      <c r="J79" s="76">
        <f t="shared" si="14"/>
        <v>75628449</v>
      </c>
    </row>
    <row r="80" spans="1:10" s="135" customFormat="1" ht="12.75" customHeight="1">
      <c r="A80" s="180" t="s">
        <v>304</v>
      </c>
      <c r="B80" s="200"/>
      <c r="C80" s="201" t="s">
        <v>264</v>
      </c>
      <c r="D80" s="202"/>
      <c r="E80" s="97">
        <v>56215000</v>
      </c>
      <c r="F80" s="97">
        <v>56215000</v>
      </c>
      <c r="G80" s="97">
        <v>56228000</v>
      </c>
      <c r="H80" s="97">
        <v>56228000</v>
      </c>
      <c r="I80" s="97">
        <v>56228000</v>
      </c>
      <c r="J80" s="97">
        <v>52502973</v>
      </c>
    </row>
    <row r="81" spans="1:10" s="135" customFormat="1" ht="12.75" customHeight="1">
      <c r="A81" s="180" t="s">
        <v>305</v>
      </c>
      <c r="B81" s="203"/>
      <c r="C81" s="204" t="s">
        <v>265</v>
      </c>
      <c r="D81" s="189"/>
      <c r="E81" s="97">
        <v>12476000</v>
      </c>
      <c r="F81" s="97">
        <v>12476000</v>
      </c>
      <c r="G81" s="97">
        <v>12479510</v>
      </c>
      <c r="H81" s="97">
        <v>12479510</v>
      </c>
      <c r="I81" s="97">
        <v>12479510</v>
      </c>
      <c r="J81" s="97">
        <v>11712977</v>
      </c>
    </row>
    <row r="82" spans="1:10" s="135" customFormat="1" ht="12.75" customHeight="1">
      <c r="A82" s="247" t="s">
        <v>306</v>
      </c>
      <c r="B82" s="468"/>
      <c r="C82" s="204" t="s">
        <v>266</v>
      </c>
      <c r="D82" s="205"/>
      <c r="E82" s="97">
        <v>12000000</v>
      </c>
      <c r="F82" s="97">
        <v>12000000</v>
      </c>
      <c r="G82" s="97">
        <v>11925000</v>
      </c>
      <c r="H82" s="97">
        <v>11925000</v>
      </c>
      <c r="I82" s="97">
        <v>11925000</v>
      </c>
      <c r="J82" s="97">
        <v>10127032</v>
      </c>
    </row>
    <row r="83" spans="1:10" s="135" customFormat="1" ht="12.75" customHeight="1">
      <c r="A83" s="638" t="s">
        <v>307</v>
      </c>
      <c r="B83" s="638"/>
      <c r="C83" s="526" t="s">
        <v>697</v>
      </c>
      <c r="D83" s="205"/>
      <c r="E83" s="97">
        <v>1200000</v>
      </c>
      <c r="F83" s="97">
        <v>1200000</v>
      </c>
      <c r="G83" s="97">
        <v>1275000</v>
      </c>
      <c r="H83" s="97">
        <v>1275000</v>
      </c>
      <c r="I83" s="97">
        <v>1275000</v>
      </c>
      <c r="J83" s="97">
        <v>1285467</v>
      </c>
    </row>
    <row r="84" spans="1:10" s="143" customFormat="1" ht="12.75" customHeight="1">
      <c r="A84" s="639" t="s">
        <v>309</v>
      </c>
      <c r="B84" s="639" t="s">
        <v>40</v>
      </c>
      <c r="C84" s="640" t="s">
        <v>693</v>
      </c>
      <c r="D84" s="641">
        <v>1</v>
      </c>
      <c r="E84" s="76">
        <f aca="true" t="shared" si="15" ref="E84:J84">SUM(E85:E87)</f>
        <v>4812000</v>
      </c>
      <c r="F84" s="76">
        <f t="shared" si="15"/>
        <v>4812000</v>
      </c>
      <c r="G84" s="76">
        <f t="shared" si="15"/>
        <v>4812000</v>
      </c>
      <c r="H84" s="76">
        <f t="shared" si="15"/>
        <v>4812000</v>
      </c>
      <c r="I84" s="76">
        <f t="shared" si="15"/>
        <v>4812000</v>
      </c>
      <c r="J84" s="76">
        <f t="shared" si="15"/>
        <v>4812000</v>
      </c>
    </row>
    <row r="85" spans="1:10" s="135" customFormat="1" ht="12.75" customHeight="1">
      <c r="A85" s="638" t="s">
        <v>311</v>
      </c>
      <c r="B85" s="638"/>
      <c r="C85" s="526" t="s">
        <v>264</v>
      </c>
      <c r="D85" s="205"/>
      <c r="E85" s="97">
        <v>3924000</v>
      </c>
      <c r="F85" s="97">
        <v>3924000</v>
      </c>
      <c r="G85" s="97">
        <v>3924000</v>
      </c>
      <c r="H85" s="97">
        <v>3924000</v>
      </c>
      <c r="I85" s="97">
        <v>3924000</v>
      </c>
      <c r="J85" s="97">
        <v>3924000</v>
      </c>
    </row>
    <row r="86" spans="1:10" s="135" customFormat="1" ht="12.75" customHeight="1">
      <c r="A86" s="638" t="s">
        <v>312</v>
      </c>
      <c r="B86" s="638"/>
      <c r="C86" s="526" t="s">
        <v>265</v>
      </c>
      <c r="D86" s="205"/>
      <c r="E86" s="97">
        <v>888000</v>
      </c>
      <c r="F86" s="97">
        <v>888000</v>
      </c>
      <c r="G86" s="97">
        <v>888000</v>
      </c>
      <c r="H86" s="97">
        <v>888000</v>
      </c>
      <c r="I86" s="97">
        <v>888000</v>
      </c>
      <c r="J86" s="97">
        <v>888000</v>
      </c>
    </row>
    <row r="87" spans="1:10" s="135" customFormat="1" ht="12.75" customHeight="1">
      <c r="A87" s="638" t="s">
        <v>313</v>
      </c>
      <c r="B87" s="638"/>
      <c r="C87" s="526" t="s">
        <v>266</v>
      </c>
      <c r="D87" s="205"/>
      <c r="E87" s="97"/>
      <c r="F87" s="97"/>
      <c r="G87" s="97"/>
      <c r="H87" s="97"/>
      <c r="I87" s="97"/>
      <c r="J87" s="97"/>
    </row>
    <row r="88" spans="1:10" s="135" customFormat="1" ht="12.75" customHeight="1">
      <c r="A88" s="635" t="s">
        <v>314</v>
      </c>
      <c r="B88" s="636"/>
      <c r="C88" s="637" t="s">
        <v>246</v>
      </c>
      <c r="D88" s="15">
        <v>16</v>
      </c>
      <c r="E88" s="154">
        <f aca="true" t="shared" si="16" ref="E88:J88">SUM(E89:E92)</f>
        <v>86703000</v>
      </c>
      <c r="F88" s="154">
        <f t="shared" si="16"/>
        <v>86703000</v>
      </c>
      <c r="G88" s="154">
        <f t="shared" si="16"/>
        <v>86719510</v>
      </c>
      <c r="H88" s="154">
        <f t="shared" si="16"/>
        <v>86719510</v>
      </c>
      <c r="I88" s="154">
        <f t="shared" si="16"/>
        <v>86719510</v>
      </c>
      <c r="J88" s="154">
        <f t="shared" si="16"/>
        <v>80440449</v>
      </c>
    </row>
    <row r="89" spans="1:10" s="135" customFormat="1" ht="12.75" customHeight="1">
      <c r="A89" s="206" t="s">
        <v>315</v>
      </c>
      <c r="B89" s="207"/>
      <c r="C89" s="208" t="s">
        <v>264</v>
      </c>
      <c r="D89" s="195"/>
      <c r="E89" s="196">
        <f aca="true" t="shared" si="17" ref="E89:F91">SUM(E80+E85)</f>
        <v>60139000</v>
      </c>
      <c r="F89" s="196">
        <f t="shared" si="17"/>
        <v>60139000</v>
      </c>
      <c r="G89" s="196">
        <f aca="true" t="shared" si="18" ref="G89:I91">SUM(G80+G85)</f>
        <v>60152000</v>
      </c>
      <c r="H89" s="196">
        <f t="shared" si="18"/>
        <v>60152000</v>
      </c>
      <c r="I89" s="196">
        <f t="shared" si="18"/>
        <v>60152000</v>
      </c>
      <c r="J89" s="196">
        <f>SUM(J80+J85)</f>
        <v>56426973</v>
      </c>
    </row>
    <row r="90" spans="1:10" s="135" customFormat="1" ht="12.75" customHeight="1">
      <c r="A90" s="209" t="s">
        <v>316</v>
      </c>
      <c r="B90" s="210"/>
      <c r="C90" s="211" t="s">
        <v>265</v>
      </c>
      <c r="D90" s="195"/>
      <c r="E90" s="196">
        <f t="shared" si="17"/>
        <v>13364000</v>
      </c>
      <c r="F90" s="196">
        <f t="shared" si="17"/>
        <v>13364000</v>
      </c>
      <c r="G90" s="196">
        <f t="shared" si="18"/>
        <v>13367510</v>
      </c>
      <c r="H90" s="196">
        <f t="shared" si="18"/>
        <v>13367510</v>
      </c>
      <c r="I90" s="196">
        <f t="shared" si="18"/>
        <v>13367510</v>
      </c>
      <c r="J90" s="196">
        <f>SUM(J81+J86)</f>
        <v>12600977</v>
      </c>
    </row>
    <row r="91" spans="1:10" s="135" customFormat="1" ht="12.75" customHeight="1">
      <c r="A91" s="153" t="s">
        <v>318</v>
      </c>
      <c r="B91" s="153"/>
      <c r="C91" s="195" t="s">
        <v>266</v>
      </c>
      <c r="D91" s="195"/>
      <c r="E91" s="196">
        <f t="shared" si="17"/>
        <v>12000000</v>
      </c>
      <c r="F91" s="196">
        <f t="shared" si="17"/>
        <v>12000000</v>
      </c>
      <c r="G91" s="196">
        <f t="shared" si="18"/>
        <v>11925000</v>
      </c>
      <c r="H91" s="196">
        <f t="shared" si="18"/>
        <v>11925000</v>
      </c>
      <c r="I91" s="196">
        <f t="shared" si="18"/>
        <v>11925000</v>
      </c>
      <c r="J91" s="196">
        <f>SUM(J82+J87)</f>
        <v>10127032</v>
      </c>
    </row>
    <row r="92" spans="1:10" s="135" customFormat="1" ht="12.75" customHeight="1">
      <c r="A92" s="153" t="s">
        <v>320</v>
      </c>
      <c r="B92" s="153"/>
      <c r="C92" s="195" t="s">
        <v>263</v>
      </c>
      <c r="D92" s="195"/>
      <c r="E92" s="196">
        <f aca="true" t="shared" si="19" ref="E92:J92">SUM(E83)</f>
        <v>1200000</v>
      </c>
      <c r="F92" s="196">
        <f t="shared" si="19"/>
        <v>1200000</v>
      </c>
      <c r="G92" s="196">
        <f t="shared" si="19"/>
        <v>1275000</v>
      </c>
      <c r="H92" s="196">
        <f t="shared" si="19"/>
        <v>1275000</v>
      </c>
      <c r="I92" s="196">
        <f t="shared" si="19"/>
        <v>1275000</v>
      </c>
      <c r="J92" s="196">
        <f t="shared" si="19"/>
        <v>1285467</v>
      </c>
    </row>
    <row r="93" spans="1:5" s="111" customFormat="1" ht="36.75" customHeight="1">
      <c r="A93" s="175" t="s">
        <v>322</v>
      </c>
      <c r="B93" s="212" t="s">
        <v>176</v>
      </c>
      <c r="C93" s="1704" t="s">
        <v>247</v>
      </c>
      <c r="D93" s="1704"/>
      <c r="E93" s="1704"/>
    </row>
    <row r="94" spans="1:10" s="135" customFormat="1" ht="12.75" customHeight="1">
      <c r="A94" s="175" t="s">
        <v>323</v>
      </c>
      <c r="B94" s="213" t="s">
        <v>38</v>
      </c>
      <c r="C94" s="13" t="s">
        <v>341</v>
      </c>
      <c r="D94" s="214">
        <v>1</v>
      </c>
      <c r="E94" s="76">
        <f aca="true" t="shared" si="20" ref="E94:J94">SUM(E95:E96)+E97</f>
        <v>14906000</v>
      </c>
      <c r="F94" s="76">
        <f t="shared" si="20"/>
        <v>15116721</v>
      </c>
      <c r="G94" s="76">
        <f t="shared" si="20"/>
        <v>15116721</v>
      </c>
      <c r="H94" s="76">
        <f t="shared" si="20"/>
        <v>15116721</v>
      </c>
      <c r="I94" s="76">
        <f t="shared" si="20"/>
        <v>15116721</v>
      </c>
      <c r="J94" s="76">
        <f t="shared" si="20"/>
        <v>16496721</v>
      </c>
    </row>
    <row r="95" spans="1:10" s="135" customFormat="1" ht="12.75" customHeight="1">
      <c r="A95" s="180" t="s">
        <v>324</v>
      </c>
      <c r="B95" s="185"/>
      <c r="C95" s="140" t="s">
        <v>264</v>
      </c>
      <c r="D95" s="182"/>
      <c r="E95" s="97">
        <v>1856000</v>
      </c>
      <c r="F95" s="97">
        <v>2028722</v>
      </c>
      <c r="G95" s="97">
        <v>2028722</v>
      </c>
      <c r="H95" s="97">
        <v>2028722</v>
      </c>
      <c r="I95" s="97">
        <v>2028722</v>
      </c>
      <c r="J95" s="97">
        <v>2028722</v>
      </c>
    </row>
    <row r="96" spans="1:10" s="135" customFormat="1" ht="12.75" customHeight="1">
      <c r="A96" s="180" t="s">
        <v>325</v>
      </c>
      <c r="B96" s="185"/>
      <c r="C96" s="140" t="s">
        <v>265</v>
      </c>
      <c r="D96" s="182"/>
      <c r="E96" s="97">
        <v>430000</v>
      </c>
      <c r="F96" s="97">
        <v>467999</v>
      </c>
      <c r="G96" s="97">
        <v>467999</v>
      </c>
      <c r="H96" s="97">
        <v>467999</v>
      </c>
      <c r="I96" s="97">
        <v>467999</v>
      </c>
      <c r="J96" s="97">
        <v>467999</v>
      </c>
    </row>
    <row r="97" spans="1:10" s="135" customFormat="1" ht="12.75" customHeight="1">
      <c r="A97" s="180" t="s">
        <v>326</v>
      </c>
      <c r="B97" s="185"/>
      <c r="C97" s="140" t="s">
        <v>266</v>
      </c>
      <c r="D97" s="182"/>
      <c r="E97" s="97">
        <v>12620000</v>
      </c>
      <c r="F97" s="97">
        <v>12620000</v>
      </c>
      <c r="G97" s="97">
        <v>12620000</v>
      </c>
      <c r="H97" s="97">
        <v>12620000</v>
      </c>
      <c r="I97" s="97">
        <v>12620000</v>
      </c>
      <c r="J97" s="97">
        <v>14000000</v>
      </c>
    </row>
    <row r="98" spans="1:10" s="135" customFormat="1" ht="12.75" customHeight="1">
      <c r="A98" s="180" t="s">
        <v>695</v>
      </c>
      <c r="B98" s="187" t="s">
        <v>40</v>
      </c>
      <c r="C98" s="13" t="s">
        <v>346</v>
      </c>
      <c r="D98" s="182"/>
      <c r="E98" s="76">
        <f aca="true" t="shared" si="21" ref="E98:J98">SUM(E99:E101)</f>
        <v>1871000</v>
      </c>
      <c r="F98" s="76">
        <f t="shared" si="21"/>
        <v>1895983</v>
      </c>
      <c r="G98" s="76">
        <f t="shared" si="21"/>
        <v>1895983</v>
      </c>
      <c r="H98" s="76">
        <f t="shared" si="21"/>
        <v>1895983</v>
      </c>
      <c r="I98" s="76">
        <f t="shared" si="21"/>
        <v>1895983</v>
      </c>
      <c r="J98" s="76">
        <f t="shared" si="21"/>
        <v>2795983</v>
      </c>
    </row>
    <row r="99" spans="1:10" s="135" customFormat="1" ht="12.75" customHeight="1">
      <c r="A99" s="180" t="s">
        <v>696</v>
      </c>
      <c r="B99" s="185"/>
      <c r="C99" s="140" t="s">
        <v>264</v>
      </c>
      <c r="D99" s="182"/>
      <c r="E99" s="97">
        <v>220000</v>
      </c>
      <c r="F99" s="97">
        <v>240478</v>
      </c>
      <c r="G99" s="97">
        <v>240478</v>
      </c>
      <c r="H99" s="97">
        <v>240478</v>
      </c>
      <c r="I99" s="97">
        <v>240478</v>
      </c>
      <c r="J99" s="97">
        <v>240478</v>
      </c>
    </row>
    <row r="100" spans="1:10" s="135" customFormat="1" ht="12.75" customHeight="1">
      <c r="A100" s="180" t="s">
        <v>328</v>
      </c>
      <c r="B100" s="185"/>
      <c r="C100" s="140" t="s">
        <v>265</v>
      </c>
      <c r="D100" s="182"/>
      <c r="E100" s="97">
        <v>51000</v>
      </c>
      <c r="F100" s="97">
        <v>55505</v>
      </c>
      <c r="G100" s="97">
        <v>55505</v>
      </c>
      <c r="H100" s="97">
        <v>55505</v>
      </c>
      <c r="I100" s="97">
        <v>55505</v>
      </c>
      <c r="J100" s="97">
        <v>55505</v>
      </c>
    </row>
    <row r="101" spans="1:10" s="135" customFormat="1" ht="12.75" customHeight="1">
      <c r="A101" s="180" t="s">
        <v>329</v>
      </c>
      <c r="B101" s="185"/>
      <c r="C101" s="204" t="s">
        <v>266</v>
      </c>
      <c r="D101" s="215"/>
      <c r="E101" s="216">
        <v>1600000</v>
      </c>
      <c r="F101" s="216">
        <v>1600000</v>
      </c>
      <c r="G101" s="216">
        <v>1600000</v>
      </c>
      <c r="H101" s="216">
        <v>1600000</v>
      </c>
      <c r="I101" s="216">
        <v>1600000</v>
      </c>
      <c r="J101" s="216">
        <v>2500000</v>
      </c>
    </row>
    <row r="102" spans="1:10" s="143" customFormat="1" ht="12.75" customHeight="1">
      <c r="A102" s="175" t="s">
        <v>330</v>
      </c>
      <c r="B102" s="178" t="s">
        <v>47</v>
      </c>
      <c r="C102" s="85" t="s">
        <v>404</v>
      </c>
      <c r="D102" s="215"/>
      <c r="E102" s="102">
        <f aca="true" t="shared" si="22" ref="E102:J102">SUM(E103:E105)</f>
        <v>0</v>
      </c>
      <c r="F102" s="102">
        <f t="shared" si="22"/>
        <v>0</v>
      </c>
      <c r="G102" s="102">
        <f t="shared" si="22"/>
        <v>0</v>
      </c>
      <c r="H102" s="102">
        <f t="shared" si="22"/>
        <v>0</v>
      </c>
      <c r="I102" s="102">
        <f t="shared" si="22"/>
        <v>0</v>
      </c>
      <c r="J102" s="102">
        <f t="shared" si="22"/>
        <v>0</v>
      </c>
    </row>
    <row r="103" spans="1:10" s="135" customFormat="1" ht="12.75" customHeight="1">
      <c r="A103" s="180" t="s">
        <v>331</v>
      </c>
      <c r="B103" s="181"/>
      <c r="C103" s="140" t="s">
        <v>264</v>
      </c>
      <c r="D103" s="215"/>
      <c r="E103" s="216"/>
      <c r="F103" s="216"/>
      <c r="G103" s="216"/>
      <c r="H103" s="216"/>
      <c r="I103" s="216"/>
      <c r="J103" s="216"/>
    </row>
    <row r="104" spans="1:10" s="135" customFormat="1" ht="12.75" customHeight="1">
      <c r="A104" s="180" t="s">
        <v>332</v>
      </c>
      <c r="B104" s="181"/>
      <c r="C104" s="140" t="s">
        <v>265</v>
      </c>
      <c r="D104" s="215"/>
      <c r="E104" s="216"/>
      <c r="F104" s="216"/>
      <c r="G104" s="216"/>
      <c r="H104" s="216"/>
      <c r="I104" s="216"/>
      <c r="J104" s="216"/>
    </row>
    <row r="105" spans="1:10" s="135" customFormat="1" ht="12.75" customHeight="1">
      <c r="A105" s="180" t="s">
        <v>333</v>
      </c>
      <c r="B105" s="181"/>
      <c r="C105" s="204" t="s">
        <v>266</v>
      </c>
      <c r="D105" s="215"/>
      <c r="E105" s="216"/>
      <c r="F105" s="216"/>
      <c r="G105" s="216"/>
      <c r="H105" s="216"/>
      <c r="I105" s="216"/>
      <c r="J105" s="216"/>
    </row>
    <row r="106" spans="1:10" s="135" customFormat="1" ht="12.75" customHeight="1">
      <c r="A106" s="180" t="s">
        <v>334</v>
      </c>
      <c r="B106" s="178" t="s">
        <v>49</v>
      </c>
      <c r="C106" s="10" t="s">
        <v>351</v>
      </c>
      <c r="D106" s="217">
        <v>19</v>
      </c>
      <c r="E106" s="76">
        <f aca="true" t="shared" si="23" ref="E106:J106">SUM(E107:E110)</f>
        <v>73012000</v>
      </c>
      <c r="F106" s="76">
        <f t="shared" si="23"/>
        <v>73012000</v>
      </c>
      <c r="G106" s="76">
        <f t="shared" si="23"/>
        <v>73012000</v>
      </c>
      <c r="H106" s="76">
        <f t="shared" si="23"/>
        <v>73012000</v>
      </c>
      <c r="I106" s="76">
        <f t="shared" si="23"/>
        <v>73012000</v>
      </c>
      <c r="J106" s="76">
        <f t="shared" si="23"/>
        <v>73489172</v>
      </c>
    </row>
    <row r="107" spans="1:10" s="135" customFormat="1" ht="12.75" customHeight="1">
      <c r="A107" s="180" t="s">
        <v>335</v>
      </c>
      <c r="B107" s="181"/>
      <c r="C107" s="147" t="s">
        <v>264</v>
      </c>
      <c r="D107" s="217"/>
      <c r="E107" s="97">
        <v>58009000</v>
      </c>
      <c r="F107" s="97">
        <v>58009000</v>
      </c>
      <c r="G107" s="97">
        <v>58009000</v>
      </c>
      <c r="H107" s="97">
        <v>58009000</v>
      </c>
      <c r="I107" s="97">
        <v>58009000</v>
      </c>
      <c r="J107" s="97">
        <v>57420001</v>
      </c>
    </row>
    <row r="108" spans="1:10" s="135" customFormat="1" ht="12.75" customHeight="1">
      <c r="A108" s="180" t="s">
        <v>336</v>
      </c>
      <c r="B108" s="181"/>
      <c r="C108" s="147" t="s">
        <v>265</v>
      </c>
      <c r="D108" s="217"/>
      <c r="E108" s="97">
        <v>13103000</v>
      </c>
      <c r="F108" s="97">
        <v>13103000</v>
      </c>
      <c r="G108" s="97">
        <v>13103000</v>
      </c>
      <c r="H108" s="97">
        <v>13103000</v>
      </c>
      <c r="I108" s="97">
        <v>13103000</v>
      </c>
      <c r="J108" s="97">
        <v>13569171</v>
      </c>
    </row>
    <row r="109" spans="1:10" s="135" customFormat="1" ht="12.75" customHeight="1">
      <c r="A109" s="180" t="s">
        <v>337</v>
      </c>
      <c r="B109" s="181"/>
      <c r="C109" s="147" t="s">
        <v>266</v>
      </c>
      <c r="D109" s="217"/>
      <c r="E109" s="97">
        <v>1900000</v>
      </c>
      <c r="F109" s="97">
        <v>1900000</v>
      </c>
      <c r="G109" s="97">
        <v>1900000</v>
      </c>
      <c r="H109" s="97">
        <v>1900000</v>
      </c>
      <c r="I109" s="97">
        <v>1900000</v>
      </c>
      <c r="J109" s="97">
        <v>2500000</v>
      </c>
    </row>
    <row r="110" spans="1:10" s="135" customFormat="1" ht="12.75" customHeight="1">
      <c r="A110" s="180" t="s">
        <v>338</v>
      </c>
      <c r="B110" s="181"/>
      <c r="C110" s="147" t="s">
        <v>697</v>
      </c>
      <c r="D110" s="217"/>
      <c r="E110" s="97"/>
      <c r="F110" s="97"/>
      <c r="G110" s="97"/>
      <c r="H110" s="97"/>
      <c r="I110" s="97"/>
      <c r="J110" s="97"/>
    </row>
    <row r="111" spans="1:10" s="143" customFormat="1" ht="12.75" customHeight="1">
      <c r="A111" s="175" t="s">
        <v>339</v>
      </c>
      <c r="B111" s="178" t="s">
        <v>51</v>
      </c>
      <c r="C111" s="10" t="s">
        <v>694</v>
      </c>
      <c r="D111" s="217"/>
      <c r="E111" s="76">
        <f aca="true" t="shared" si="24" ref="E111:J111">SUM(E112:E114)</f>
        <v>381000</v>
      </c>
      <c r="F111" s="76">
        <f t="shared" si="24"/>
        <v>381000</v>
      </c>
      <c r="G111" s="76">
        <f t="shared" si="24"/>
        <v>381000</v>
      </c>
      <c r="H111" s="76">
        <f t="shared" si="24"/>
        <v>381000</v>
      </c>
      <c r="I111" s="76">
        <f t="shared" si="24"/>
        <v>381000</v>
      </c>
      <c r="J111" s="76">
        <f t="shared" si="24"/>
        <v>381000</v>
      </c>
    </row>
    <row r="112" spans="1:10" s="135" customFormat="1" ht="12.75" customHeight="1">
      <c r="A112" s="180" t="s">
        <v>340</v>
      </c>
      <c r="B112" s="181"/>
      <c r="C112" s="147" t="s">
        <v>264</v>
      </c>
      <c r="D112" s="217"/>
      <c r="E112" s="97">
        <v>312000</v>
      </c>
      <c r="F112" s="97">
        <v>312000</v>
      </c>
      <c r="G112" s="97">
        <v>312000</v>
      </c>
      <c r="H112" s="97">
        <v>312000</v>
      </c>
      <c r="I112" s="97">
        <v>312000</v>
      </c>
      <c r="J112" s="97">
        <v>312000</v>
      </c>
    </row>
    <row r="113" spans="1:10" s="135" customFormat="1" ht="12.75" customHeight="1">
      <c r="A113" s="180" t="s">
        <v>342</v>
      </c>
      <c r="B113" s="181"/>
      <c r="C113" s="147" t="s">
        <v>265</v>
      </c>
      <c r="D113" s="217"/>
      <c r="E113" s="97">
        <v>69000</v>
      </c>
      <c r="F113" s="97">
        <v>69000</v>
      </c>
      <c r="G113" s="97">
        <v>69000</v>
      </c>
      <c r="H113" s="97">
        <v>69000</v>
      </c>
      <c r="I113" s="97">
        <v>69000</v>
      </c>
      <c r="J113" s="97">
        <v>69000</v>
      </c>
    </row>
    <row r="114" spans="1:10" s="135" customFormat="1" ht="12.75" customHeight="1">
      <c r="A114" s="180" t="s">
        <v>343</v>
      </c>
      <c r="B114" s="181"/>
      <c r="C114" s="147" t="s">
        <v>266</v>
      </c>
      <c r="D114" s="217"/>
      <c r="E114" s="97"/>
      <c r="F114" s="97"/>
      <c r="G114" s="97"/>
      <c r="H114" s="97"/>
      <c r="I114" s="97"/>
      <c r="J114" s="97"/>
    </row>
    <row r="115" spans="1:10" s="135" customFormat="1" ht="12.75" customHeight="1">
      <c r="A115" s="180" t="s">
        <v>344</v>
      </c>
      <c r="B115" s="178" t="s">
        <v>53</v>
      </c>
      <c r="C115" s="10" t="s">
        <v>357</v>
      </c>
      <c r="D115" s="10">
        <v>3</v>
      </c>
      <c r="E115" s="76">
        <f aca="true" t="shared" si="25" ref="E115:J115">SUM(E116:E118)</f>
        <v>9653000</v>
      </c>
      <c r="F115" s="76">
        <f t="shared" si="25"/>
        <v>9668000</v>
      </c>
      <c r="G115" s="76">
        <f t="shared" si="25"/>
        <v>9668000</v>
      </c>
      <c r="H115" s="76">
        <f t="shared" si="25"/>
        <v>9668000</v>
      </c>
      <c r="I115" s="76">
        <f t="shared" si="25"/>
        <v>9668000</v>
      </c>
      <c r="J115" s="76">
        <f t="shared" si="25"/>
        <v>9733000</v>
      </c>
    </row>
    <row r="116" spans="1:10" s="135" customFormat="1" ht="12.75" customHeight="1">
      <c r="A116" s="180" t="s">
        <v>345</v>
      </c>
      <c r="B116" s="181"/>
      <c r="C116" s="147" t="s">
        <v>264</v>
      </c>
      <c r="D116" s="217"/>
      <c r="E116" s="97">
        <v>7762000</v>
      </c>
      <c r="F116" s="97">
        <v>7762000</v>
      </c>
      <c r="G116" s="97">
        <v>7762000</v>
      </c>
      <c r="H116" s="97">
        <v>7762000</v>
      </c>
      <c r="I116" s="97">
        <v>7762000</v>
      </c>
      <c r="J116" s="97">
        <v>7762000</v>
      </c>
    </row>
    <row r="117" spans="1:10" s="135" customFormat="1" ht="12.75" customHeight="1">
      <c r="A117" s="180" t="s">
        <v>347</v>
      </c>
      <c r="B117" s="181"/>
      <c r="C117" s="147" t="s">
        <v>265</v>
      </c>
      <c r="D117" s="217"/>
      <c r="E117" s="97">
        <v>1756000</v>
      </c>
      <c r="F117" s="97">
        <v>1756000</v>
      </c>
      <c r="G117" s="97">
        <v>1756000</v>
      </c>
      <c r="H117" s="97">
        <v>1756000</v>
      </c>
      <c r="I117" s="97">
        <v>1756000</v>
      </c>
      <c r="J117" s="97">
        <v>1756000</v>
      </c>
    </row>
    <row r="118" spans="1:10" s="135" customFormat="1" ht="12.75" customHeight="1">
      <c r="A118" s="180" t="s">
        <v>348</v>
      </c>
      <c r="B118" s="181"/>
      <c r="C118" s="140" t="s">
        <v>266</v>
      </c>
      <c r="D118" s="179"/>
      <c r="E118" s="97">
        <v>135000</v>
      </c>
      <c r="F118" s="97">
        <v>150000</v>
      </c>
      <c r="G118" s="97">
        <v>150000</v>
      </c>
      <c r="H118" s="97">
        <v>150000</v>
      </c>
      <c r="I118" s="97">
        <v>150000</v>
      </c>
      <c r="J118" s="97">
        <v>215000</v>
      </c>
    </row>
    <row r="119" spans="1:10" s="135" customFormat="1" ht="12.75" customHeight="1">
      <c r="A119" s="180" t="s">
        <v>349</v>
      </c>
      <c r="B119" s="178" t="s">
        <v>55</v>
      </c>
      <c r="C119" s="13" t="s">
        <v>362</v>
      </c>
      <c r="D119" s="179">
        <v>3</v>
      </c>
      <c r="E119" s="76">
        <f aca="true" t="shared" si="26" ref="E119:J119">SUM(E120:E123)</f>
        <v>9042000</v>
      </c>
      <c r="F119" s="76">
        <f t="shared" si="26"/>
        <v>9162000</v>
      </c>
      <c r="G119" s="76">
        <f t="shared" si="26"/>
        <v>9262691</v>
      </c>
      <c r="H119" s="76">
        <f t="shared" si="26"/>
        <v>9262691</v>
      </c>
      <c r="I119" s="76">
        <f t="shared" si="26"/>
        <v>9444312</v>
      </c>
      <c r="J119" s="76">
        <f t="shared" si="26"/>
        <v>9444312</v>
      </c>
    </row>
    <row r="120" spans="1:10" s="135" customFormat="1" ht="12.75" customHeight="1">
      <c r="A120" s="180" t="s">
        <v>350</v>
      </c>
      <c r="B120" s="181"/>
      <c r="C120" s="140" t="s">
        <v>264</v>
      </c>
      <c r="D120" s="179"/>
      <c r="E120" s="97">
        <v>7132000</v>
      </c>
      <c r="F120" s="97">
        <v>7132000</v>
      </c>
      <c r="G120" s="97">
        <v>7214534</v>
      </c>
      <c r="H120" s="97">
        <v>7214534</v>
      </c>
      <c r="I120" s="97">
        <v>7363404</v>
      </c>
      <c r="J120" s="97">
        <v>7363404</v>
      </c>
    </row>
    <row r="121" spans="1:10" s="135" customFormat="1" ht="12.75" customHeight="1">
      <c r="A121" s="180" t="s">
        <v>352</v>
      </c>
      <c r="B121" s="181"/>
      <c r="C121" s="140" t="s">
        <v>265</v>
      </c>
      <c r="D121" s="182"/>
      <c r="E121" s="97">
        <v>1610000</v>
      </c>
      <c r="F121" s="97">
        <v>1610000</v>
      </c>
      <c r="G121" s="97">
        <v>1628157</v>
      </c>
      <c r="H121" s="97">
        <v>1628157</v>
      </c>
      <c r="I121" s="97">
        <v>1660908</v>
      </c>
      <c r="J121" s="97">
        <v>1660908</v>
      </c>
    </row>
    <row r="122" spans="1:10" s="135" customFormat="1" ht="12.75" customHeight="1">
      <c r="A122" s="180" t="s">
        <v>353</v>
      </c>
      <c r="B122" s="181"/>
      <c r="C122" s="140" t="s">
        <v>266</v>
      </c>
      <c r="D122" s="182"/>
      <c r="E122" s="97">
        <v>300000</v>
      </c>
      <c r="F122" s="97">
        <v>420000</v>
      </c>
      <c r="G122" s="97">
        <v>420000</v>
      </c>
      <c r="H122" s="97">
        <v>420000</v>
      </c>
      <c r="I122" s="97">
        <v>420000</v>
      </c>
      <c r="J122" s="97">
        <v>420000</v>
      </c>
    </row>
    <row r="123" spans="1:10" s="135" customFormat="1" ht="12.75" customHeight="1">
      <c r="A123" s="180" t="s">
        <v>354</v>
      </c>
      <c r="B123" s="181"/>
      <c r="C123" s="140" t="s">
        <v>263</v>
      </c>
      <c r="D123" s="182"/>
      <c r="E123" s="97">
        <v>0</v>
      </c>
      <c r="F123" s="97">
        <v>0</v>
      </c>
      <c r="G123" s="97">
        <v>0</v>
      </c>
      <c r="H123" s="97">
        <v>0</v>
      </c>
      <c r="I123" s="97">
        <v>0</v>
      </c>
      <c r="J123" s="97">
        <v>0</v>
      </c>
    </row>
    <row r="124" spans="1:10" s="135" customFormat="1" ht="12.75" customHeight="1">
      <c r="A124" s="180" t="s">
        <v>355</v>
      </c>
      <c r="B124" s="178" t="s">
        <v>57</v>
      </c>
      <c r="C124" s="13" t="s">
        <v>368</v>
      </c>
      <c r="D124" s="182"/>
      <c r="E124" s="76">
        <f aca="true" t="shared" si="27" ref="E124:J124">SUM(E125:E128)</f>
        <v>3250000</v>
      </c>
      <c r="F124" s="76">
        <f t="shared" si="27"/>
        <v>4050000</v>
      </c>
      <c r="G124" s="76">
        <f t="shared" si="27"/>
        <v>4050000</v>
      </c>
      <c r="H124" s="76">
        <f t="shared" si="27"/>
        <v>4050000</v>
      </c>
      <c r="I124" s="76">
        <f t="shared" si="27"/>
        <v>4050000</v>
      </c>
      <c r="J124" s="76">
        <f t="shared" si="27"/>
        <v>5463110</v>
      </c>
    </row>
    <row r="125" spans="1:10" s="135" customFormat="1" ht="12.75" customHeight="1">
      <c r="A125" s="180" t="s">
        <v>356</v>
      </c>
      <c r="B125" s="181"/>
      <c r="C125" s="140" t="s">
        <v>264</v>
      </c>
      <c r="D125" s="182"/>
      <c r="E125" s="97"/>
      <c r="F125" s="97"/>
      <c r="G125" s="97"/>
      <c r="H125" s="97"/>
      <c r="I125" s="97"/>
      <c r="J125" s="97"/>
    </row>
    <row r="126" spans="1:10" s="135" customFormat="1" ht="12.75" customHeight="1">
      <c r="A126" s="180" t="s">
        <v>358</v>
      </c>
      <c r="B126" s="181"/>
      <c r="C126" s="140" t="s">
        <v>371</v>
      </c>
      <c r="D126" s="182"/>
      <c r="E126" s="97"/>
      <c r="F126" s="97"/>
      <c r="G126" s="97"/>
      <c r="H126" s="97"/>
      <c r="I126" s="97"/>
      <c r="J126" s="97"/>
    </row>
    <row r="127" spans="1:10" s="135" customFormat="1" ht="12.75" customHeight="1">
      <c r="A127" s="180" t="s">
        <v>359</v>
      </c>
      <c r="B127" s="181"/>
      <c r="C127" s="140" t="s">
        <v>373</v>
      </c>
      <c r="D127" s="182"/>
      <c r="E127" s="97">
        <v>3250000</v>
      </c>
      <c r="F127" s="97">
        <v>3250000</v>
      </c>
      <c r="G127" s="97">
        <v>3250000</v>
      </c>
      <c r="H127" s="97">
        <v>3250000</v>
      </c>
      <c r="I127" s="97">
        <v>3250000</v>
      </c>
      <c r="J127" s="97">
        <v>4568522</v>
      </c>
    </row>
    <row r="128" spans="1:10" s="135" customFormat="1" ht="12.75" customHeight="1">
      <c r="A128" s="180" t="s">
        <v>360</v>
      </c>
      <c r="B128" s="181"/>
      <c r="C128" s="140" t="s">
        <v>632</v>
      </c>
      <c r="D128" s="182"/>
      <c r="E128" s="97"/>
      <c r="F128" s="97">
        <v>800000</v>
      </c>
      <c r="G128" s="97">
        <v>800000</v>
      </c>
      <c r="H128" s="97">
        <v>800000</v>
      </c>
      <c r="I128" s="97">
        <v>800000</v>
      </c>
      <c r="J128" s="97">
        <v>894588</v>
      </c>
    </row>
    <row r="129" spans="1:10" s="135" customFormat="1" ht="12.75" customHeight="1">
      <c r="A129" s="194" t="s">
        <v>361</v>
      </c>
      <c r="B129" s="218"/>
      <c r="C129" s="219" t="s">
        <v>376</v>
      </c>
      <c r="D129" s="220">
        <v>26</v>
      </c>
      <c r="E129" s="154">
        <f aca="true" t="shared" si="28" ref="E129:J129">SUM(E130:E133)</f>
        <v>112115000</v>
      </c>
      <c r="F129" s="154">
        <f t="shared" si="28"/>
        <v>113285704</v>
      </c>
      <c r="G129" s="154">
        <f t="shared" si="28"/>
        <v>113386395</v>
      </c>
      <c r="H129" s="154">
        <f t="shared" si="28"/>
        <v>113386395</v>
      </c>
      <c r="I129" s="154">
        <f t="shared" si="28"/>
        <v>113568016</v>
      </c>
      <c r="J129" s="154">
        <f t="shared" si="28"/>
        <v>117803298</v>
      </c>
    </row>
    <row r="130" spans="1:10" s="135" customFormat="1" ht="12.75" customHeight="1">
      <c r="A130" s="194" t="s">
        <v>363</v>
      </c>
      <c r="B130" s="153"/>
      <c r="C130" s="195" t="s">
        <v>264</v>
      </c>
      <c r="D130" s="195"/>
      <c r="E130" s="196">
        <f aca="true" t="shared" si="29" ref="E130:F132">SUM(E95+E99+E103+E107+E112+E116+E120+E125)</f>
        <v>75291000</v>
      </c>
      <c r="F130" s="196">
        <f t="shared" si="29"/>
        <v>75484200</v>
      </c>
      <c r="G130" s="196">
        <f aca="true" t="shared" si="30" ref="G130:I132">SUM(G95+G99+G103+G107+G112+G116+G120+G125)</f>
        <v>75566734</v>
      </c>
      <c r="H130" s="196">
        <f t="shared" si="30"/>
        <v>75566734</v>
      </c>
      <c r="I130" s="196">
        <f t="shared" si="30"/>
        <v>75715604</v>
      </c>
      <c r="J130" s="196">
        <f>SUM(J95+J99+J103+J107+J112+J116+J120+J125)</f>
        <v>75126605</v>
      </c>
    </row>
    <row r="131" spans="1:10" s="135" customFormat="1" ht="12.75" customHeight="1">
      <c r="A131" s="194" t="s">
        <v>364</v>
      </c>
      <c r="B131" s="153"/>
      <c r="C131" s="195" t="s">
        <v>265</v>
      </c>
      <c r="D131" s="195"/>
      <c r="E131" s="196">
        <f t="shared" si="29"/>
        <v>17019000</v>
      </c>
      <c r="F131" s="196">
        <f t="shared" si="29"/>
        <v>17061504</v>
      </c>
      <c r="G131" s="196">
        <f t="shared" si="30"/>
        <v>17079661</v>
      </c>
      <c r="H131" s="196">
        <f t="shared" si="30"/>
        <v>17079661</v>
      </c>
      <c r="I131" s="196">
        <f t="shared" si="30"/>
        <v>17112412</v>
      </c>
      <c r="J131" s="196">
        <f>SUM(J96+J100+J104+J108+J113+J117+J121+J126)</f>
        <v>17578583</v>
      </c>
    </row>
    <row r="132" spans="1:10" s="135" customFormat="1" ht="12.75" customHeight="1">
      <c r="A132" s="194" t="s">
        <v>365</v>
      </c>
      <c r="B132" s="153"/>
      <c r="C132" s="195" t="s">
        <v>266</v>
      </c>
      <c r="D132" s="195"/>
      <c r="E132" s="196">
        <f t="shared" si="29"/>
        <v>19805000</v>
      </c>
      <c r="F132" s="196">
        <f t="shared" si="29"/>
        <v>19940000</v>
      </c>
      <c r="G132" s="196">
        <f t="shared" si="30"/>
        <v>19940000</v>
      </c>
      <c r="H132" s="196">
        <f t="shared" si="30"/>
        <v>19940000</v>
      </c>
      <c r="I132" s="196">
        <f t="shared" si="30"/>
        <v>19940000</v>
      </c>
      <c r="J132" s="196">
        <f>SUM(J97+J101+J105+J109+J114+J118+J122+J127)</f>
        <v>24203522</v>
      </c>
    </row>
    <row r="133" spans="1:10" s="135" customFormat="1" ht="12.75" customHeight="1">
      <c r="A133" s="194" t="s">
        <v>366</v>
      </c>
      <c r="B133" s="153"/>
      <c r="C133" s="195" t="s">
        <v>263</v>
      </c>
      <c r="D133" s="195"/>
      <c r="E133" s="196">
        <f aca="true" t="shared" si="31" ref="E133:J133">SUM(E110+E123+E128)</f>
        <v>0</v>
      </c>
      <c r="F133" s="196">
        <f t="shared" si="31"/>
        <v>800000</v>
      </c>
      <c r="G133" s="196">
        <f t="shared" si="31"/>
        <v>800000</v>
      </c>
      <c r="H133" s="196">
        <f t="shared" si="31"/>
        <v>800000</v>
      </c>
      <c r="I133" s="196">
        <f t="shared" si="31"/>
        <v>800000</v>
      </c>
      <c r="J133" s="196">
        <f t="shared" si="31"/>
        <v>894588</v>
      </c>
    </row>
    <row r="134" spans="1:10" s="224" customFormat="1" ht="19.5" customHeight="1">
      <c r="A134" s="221" t="s">
        <v>367</v>
      </c>
      <c r="B134" s="222" t="s">
        <v>186</v>
      </c>
      <c r="C134" s="1705" t="s">
        <v>810</v>
      </c>
      <c r="D134" s="1705"/>
      <c r="E134" s="1705"/>
      <c r="F134" s="223"/>
      <c r="G134" s="223"/>
      <c r="H134" s="223"/>
      <c r="I134" s="223"/>
      <c r="J134" s="223"/>
    </row>
    <row r="135" spans="1:10" s="135" customFormat="1" ht="12.75" customHeight="1">
      <c r="A135" s="180" t="s">
        <v>369</v>
      </c>
      <c r="B135" s="145" t="s">
        <v>38</v>
      </c>
      <c r="C135" s="13" t="s">
        <v>384</v>
      </c>
      <c r="D135" s="179">
        <v>2.5</v>
      </c>
      <c r="E135" s="76">
        <f aca="true" t="shared" si="32" ref="E135:J135">SUM(E136:E139)</f>
        <v>13137000</v>
      </c>
      <c r="F135" s="76">
        <f t="shared" si="32"/>
        <v>13137000</v>
      </c>
      <c r="G135" s="76">
        <f t="shared" si="32"/>
        <v>13364882</v>
      </c>
      <c r="H135" s="76">
        <f t="shared" si="32"/>
        <v>13364882</v>
      </c>
      <c r="I135" s="76">
        <f t="shared" si="32"/>
        <v>13572398</v>
      </c>
      <c r="J135" s="76">
        <f t="shared" si="32"/>
        <v>13726808</v>
      </c>
    </row>
    <row r="136" spans="1:10" s="135" customFormat="1" ht="12.75" customHeight="1">
      <c r="A136" s="180" t="s">
        <v>370</v>
      </c>
      <c r="B136" s="149"/>
      <c r="C136" s="140" t="s">
        <v>264</v>
      </c>
      <c r="D136" s="182"/>
      <c r="E136" s="97">
        <v>6780000</v>
      </c>
      <c r="F136" s="97">
        <v>6780000</v>
      </c>
      <c r="G136" s="97">
        <v>6965027</v>
      </c>
      <c r="H136" s="97">
        <v>6965027</v>
      </c>
      <c r="I136" s="97">
        <v>7051428</v>
      </c>
      <c r="J136" s="97">
        <v>7188879</v>
      </c>
    </row>
    <row r="137" spans="1:10" s="135" customFormat="1" ht="12.75" customHeight="1">
      <c r="A137" s="180" t="s">
        <v>372</v>
      </c>
      <c r="B137" s="149"/>
      <c r="C137" s="140" t="s">
        <v>265</v>
      </c>
      <c r="D137" s="182"/>
      <c r="E137" s="97">
        <v>1527000</v>
      </c>
      <c r="F137" s="97">
        <v>1527000</v>
      </c>
      <c r="G137" s="97">
        <v>1569855</v>
      </c>
      <c r="H137" s="97">
        <v>1569855</v>
      </c>
      <c r="I137" s="97">
        <v>1588863</v>
      </c>
      <c r="J137" s="97">
        <v>1539888</v>
      </c>
    </row>
    <row r="138" spans="1:10" s="135" customFormat="1" ht="12.75" customHeight="1">
      <c r="A138" s="180" t="s">
        <v>374</v>
      </c>
      <c r="B138" s="149"/>
      <c r="C138" s="140" t="s">
        <v>266</v>
      </c>
      <c r="D138" s="182"/>
      <c r="E138" s="97">
        <v>4430000</v>
      </c>
      <c r="F138" s="97">
        <v>4430000</v>
      </c>
      <c r="G138" s="97">
        <v>4430000</v>
      </c>
      <c r="H138" s="97">
        <v>4430000</v>
      </c>
      <c r="I138" s="97">
        <v>4532107</v>
      </c>
      <c r="J138" s="97">
        <v>4294264</v>
      </c>
    </row>
    <row r="139" spans="1:10" s="135" customFormat="1" ht="12.75" customHeight="1">
      <c r="A139" s="180" t="s">
        <v>375</v>
      </c>
      <c r="B139" s="149"/>
      <c r="C139" s="20" t="s">
        <v>263</v>
      </c>
      <c r="D139" s="182"/>
      <c r="E139" s="97">
        <v>400000</v>
      </c>
      <c r="F139" s="97">
        <v>400000</v>
      </c>
      <c r="G139" s="97">
        <v>400000</v>
      </c>
      <c r="H139" s="97">
        <v>400000</v>
      </c>
      <c r="I139" s="97">
        <v>400000</v>
      </c>
      <c r="J139" s="97">
        <v>703777</v>
      </c>
    </row>
    <row r="140" spans="1:10" s="135" customFormat="1" ht="12.75" customHeight="1">
      <c r="A140" s="180" t="s">
        <v>377</v>
      </c>
      <c r="B140" s="145" t="s">
        <v>40</v>
      </c>
      <c r="C140" s="13" t="s">
        <v>390</v>
      </c>
      <c r="D140" s="179">
        <v>0.5</v>
      </c>
      <c r="E140" s="76">
        <f aca="true" t="shared" si="33" ref="E140:J140">SUM(E141:E143)</f>
        <v>3613000</v>
      </c>
      <c r="F140" s="76">
        <f t="shared" si="33"/>
        <v>3613000</v>
      </c>
      <c r="G140" s="76">
        <f t="shared" si="33"/>
        <v>3613000</v>
      </c>
      <c r="H140" s="76">
        <f t="shared" si="33"/>
        <v>3613000</v>
      </c>
      <c r="I140" s="76">
        <f t="shared" si="33"/>
        <v>3613000</v>
      </c>
      <c r="J140" s="76">
        <f t="shared" si="33"/>
        <v>1190000</v>
      </c>
    </row>
    <row r="141" spans="1:10" s="135" customFormat="1" ht="12.75" customHeight="1">
      <c r="A141" s="180" t="s">
        <v>378</v>
      </c>
      <c r="B141" s="149"/>
      <c r="C141" s="140" t="s">
        <v>264</v>
      </c>
      <c r="D141" s="182"/>
      <c r="E141" s="97">
        <v>1855000</v>
      </c>
      <c r="F141" s="97">
        <v>1855000</v>
      </c>
      <c r="G141" s="97">
        <v>1855000</v>
      </c>
      <c r="H141" s="97">
        <v>1855000</v>
      </c>
      <c r="I141" s="97">
        <v>1855000</v>
      </c>
      <c r="J141" s="97">
        <v>500000</v>
      </c>
    </row>
    <row r="142" spans="1:10" s="135" customFormat="1" ht="12.75" customHeight="1">
      <c r="A142" s="180" t="s">
        <v>379</v>
      </c>
      <c r="B142" s="149"/>
      <c r="C142" s="140" t="s">
        <v>265</v>
      </c>
      <c r="D142" s="182"/>
      <c r="E142" s="97">
        <v>758000</v>
      </c>
      <c r="F142" s="97">
        <v>758000</v>
      </c>
      <c r="G142" s="97">
        <v>758000</v>
      </c>
      <c r="H142" s="97">
        <v>758000</v>
      </c>
      <c r="I142" s="97">
        <v>758000</v>
      </c>
      <c r="J142" s="97">
        <v>190000</v>
      </c>
    </row>
    <row r="143" spans="1:10" s="135" customFormat="1" ht="12.75" customHeight="1">
      <c r="A143" s="180" t="s">
        <v>380</v>
      </c>
      <c r="B143" s="149"/>
      <c r="C143" s="140" t="s">
        <v>266</v>
      </c>
      <c r="D143" s="182"/>
      <c r="E143" s="97">
        <v>1000000</v>
      </c>
      <c r="F143" s="97">
        <v>1000000</v>
      </c>
      <c r="G143" s="97">
        <v>1000000</v>
      </c>
      <c r="H143" s="97">
        <v>1000000</v>
      </c>
      <c r="I143" s="97">
        <v>1000000</v>
      </c>
      <c r="J143" s="97">
        <v>500000</v>
      </c>
    </row>
    <row r="144" spans="1:10" s="143" customFormat="1" ht="12.75" customHeight="1">
      <c r="A144" s="175" t="s">
        <v>381</v>
      </c>
      <c r="B144" s="145" t="s">
        <v>47</v>
      </c>
      <c r="C144" s="13" t="s">
        <v>548</v>
      </c>
      <c r="D144" s="179"/>
      <c r="E144" s="76">
        <v>700000</v>
      </c>
      <c r="F144" s="76">
        <v>700000</v>
      </c>
      <c r="G144" s="76">
        <v>700000</v>
      </c>
      <c r="H144" s="76">
        <v>700000</v>
      </c>
      <c r="I144" s="76">
        <v>700000</v>
      </c>
      <c r="J144" s="76">
        <v>0</v>
      </c>
    </row>
    <row r="145" spans="1:10" s="135" customFormat="1" ht="12.75" customHeight="1">
      <c r="A145" s="180" t="s">
        <v>382</v>
      </c>
      <c r="B145" s="149"/>
      <c r="C145" s="140" t="s">
        <v>264</v>
      </c>
      <c r="D145" s="182"/>
      <c r="E145" s="97"/>
      <c r="F145" s="97"/>
      <c r="G145" s="97"/>
      <c r="H145" s="97"/>
      <c r="I145" s="97"/>
      <c r="J145" s="97"/>
    </row>
    <row r="146" spans="1:10" s="135" customFormat="1" ht="12.75" customHeight="1">
      <c r="A146" s="180" t="s">
        <v>383</v>
      </c>
      <c r="B146" s="149"/>
      <c r="C146" s="140" t="s">
        <v>265</v>
      </c>
      <c r="D146" s="182"/>
      <c r="E146" s="97"/>
      <c r="F146" s="97"/>
      <c r="G146" s="97"/>
      <c r="H146" s="97"/>
      <c r="I146" s="97"/>
      <c r="J146" s="97"/>
    </row>
    <row r="147" spans="1:10" s="135" customFormat="1" ht="12.75" customHeight="1">
      <c r="A147" s="180" t="s">
        <v>385</v>
      </c>
      <c r="B147" s="149"/>
      <c r="C147" s="140" t="s">
        <v>266</v>
      </c>
      <c r="D147" s="182"/>
      <c r="E147" s="97">
        <v>700000</v>
      </c>
      <c r="F147" s="97">
        <v>700000</v>
      </c>
      <c r="G147" s="97">
        <v>700000</v>
      </c>
      <c r="H147" s="97">
        <v>700000</v>
      </c>
      <c r="I147" s="97">
        <v>700000</v>
      </c>
      <c r="J147" s="97">
        <v>0</v>
      </c>
    </row>
    <row r="148" spans="1:10" s="143" customFormat="1" ht="12.75" customHeight="1">
      <c r="A148" s="175" t="s">
        <v>386</v>
      </c>
      <c r="B148" s="145" t="s">
        <v>49</v>
      </c>
      <c r="C148" s="13" t="s">
        <v>549</v>
      </c>
      <c r="D148" s="179"/>
      <c r="E148" s="76">
        <v>700000</v>
      </c>
      <c r="F148" s="76">
        <v>700000</v>
      </c>
      <c r="G148" s="76">
        <v>700000</v>
      </c>
      <c r="H148" s="76">
        <v>700000</v>
      </c>
      <c r="I148" s="76">
        <v>700000</v>
      </c>
      <c r="J148" s="76">
        <v>300000</v>
      </c>
    </row>
    <row r="149" spans="1:10" s="135" customFormat="1" ht="12.75" customHeight="1">
      <c r="A149" s="180" t="s">
        <v>387</v>
      </c>
      <c r="B149" s="149"/>
      <c r="C149" s="140" t="s">
        <v>264</v>
      </c>
      <c r="D149" s="182"/>
      <c r="E149" s="97"/>
      <c r="F149" s="97"/>
      <c r="G149" s="97"/>
      <c r="H149" s="97"/>
      <c r="I149" s="97"/>
      <c r="J149" s="97"/>
    </row>
    <row r="150" spans="1:10" s="135" customFormat="1" ht="12.75" customHeight="1">
      <c r="A150" s="180" t="s">
        <v>388</v>
      </c>
      <c r="B150" s="149"/>
      <c r="C150" s="140" t="s">
        <v>265</v>
      </c>
      <c r="D150" s="182"/>
      <c r="E150" s="97"/>
      <c r="F150" s="97"/>
      <c r="G150" s="97"/>
      <c r="H150" s="97"/>
      <c r="I150" s="97"/>
      <c r="J150" s="97"/>
    </row>
    <row r="151" spans="1:10" s="135" customFormat="1" ht="12.75" customHeight="1">
      <c r="A151" s="180" t="s">
        <v>389</v>
      </c>
      <c r="B151" s="149"/>
      <c r="C151" s="140" t="s">
        <v>266</v>
      </c>
      <c r="D151" s="182"/>
      <c r="E151" s="97">
        <v>700000</v>
      </c>
      <c r="F151" s="97">
        <v>700000</v>
      </c>
      <c r="G151" s="97">
        <v>700000</v>
      </c>
      <c r="H151" s="97">
        <v>700000</v>
      </c>
      <c r="I151" s="97">
        <v>700000</v>
      </c>
      <c r="J151" s="97">
        <v>300000</v>
      </c>
    </row>
    <row r="152" spans="1:10" s="135" customFormat="1" ht="12.75" customHeight="1">
      <c r="A152" s="180" t="s">
        <v>391</v>
      </c>
      <c r="B152" s="149"/>
      <c r="C152" s="20" t="s">
        <v>263</v>
      </c>
      <c r="D152" s="182"/>
      <c r="E152" s="97"/>
      <c r="F152" s="97"/>
      <c r="G152" s="97"/>
      <c r="H152" s="97"/>
      <c r="I152" s="97"/>
      <c r="J152" s="97"/>
    </row>
    <row r="153" spans="1:10" s="135" customFormat="1" ht="26.25" customHeight="1">
      <c r="A153" s="194" t="s">
        <v>392</v>
      </c>
      <c r="B153" s="153"/>
      <c r="C153" s="225" t="s">
        <v>932</v>
      </c>
      <c r="D153" s="220">
        <f>SUM(D134:D143)</f>
        <v>3</v>
      </c>
      <c r="E153" s="154">
        <f aca="true" t="shared" si="34" ref="E153:J153">SUM(E154:E157)</f>
        <v>18150000</v>
      </c>
      <c r="F153" s="154">
        <f t="shared" si="34"/>
        <v>18150000</v>
      </c>
      <c r="G153" s="154">
        <f t="shared" si="34"/>
        <v>18377882</v>
      </c>
      <c r="H153" s="154">
        <f t="shared" si="34"/>
        <v>18377882</v>
      </c>
      <c r="I153" s="154">
        <f t="shared" si="34"/>
        <v>18585398</v>
      </c>
      <c r="J153" s="154">
        <f t="shared" si="34"/>
        <v>15216808</v>
      </c>
    </row>
    <row r="154" spans="1:10" s="135" customFormat="1" ht="12.75" customHeight="1">
      <c r="A154" s="194" t="s">
        <v>393</v>
      </c>
      <c r="B154" s="153"/>
      <c r="C154" s="195" t="s">
        <v>264</v>
      </c>
      <c r="D154" s="195"/>
      <c r="E154" s="196">
        <f aca="true" t="shared" si="35" ref="E154:F156">SUM(E136+E141+E145+E149)</f>
        <v>8635000</v>
      </c>
      <c r="F154" s="196">
        <f t="shared" si="35"/>
        <v>8635000</v>
      </c>
      <c r="G154" s="196">
        <f aca="true" t="shared" si="36" ref="G154:I156">SUM(G136+G141+G145+G149)</f>
        <v>8820027</v>
      </c>
      <c r="H154" s="196">
        <f t="shared" si="36"/>
        <v>8820027</v>
      </c>
      <c r="I154" s="196">
        <f t="shared" si="36"/>
        <v>8906428</v>
      </c>
      <c r="J154" s="196">
        <f>SUM(J136+J141+J145+J149)</f>
        <v>7688879</v>
      </c>
    </row>
    <row r="155" spans="1:10" s="135" customFormat="1" ht="12.75" customHeight="1">
      <c r="A155" s="194" t="s">
        <v>394</v>
      </c>
      <c r="B155" s="153"/>
      <c r="C155" s="195" t="s">
        <v>265</v>
      </c>
      <c r="D155" s="195"/>
      <c r="E155" s="196">
        <f t="shared" si="35"/>
        <v>2285000</v>
      </c>
      <c r="F155" s="196">
        <f t="shared" si="35"/>
        <v>2285000</v>
      </c>
      <c r="G155" s="196">
        <f t="shared" si="36"/>
        <v>2327855</v>
      </c>
      <c r="H155" s="196">
        <f t="shared" si="36"/>
        <v>2327855</v>
      </c>
      <c r="I155" s="196">
        <f t="shared" si="36"/>
        <v>2346863</v>
      </c>
      <c r="J155" s="196">
        <f>SUM(J137+J142+J146+J150)</f>
        <v>1729888</v>
      </c>
    </row>
    <row r="156" spans="1:10" s="135" customFormat="1" ht="12.75" customHeight="1">
      <c r="A156" s="194" t="s">
        <v>395</v>
      </c>
      <c r="B156" s="153"/>
      <c r="C156" s="195" t="s">
        <v>266</v>
      </c>
      <c r="D156" s="195"/>
      <c r="E156" s="196">
        <f t="shared" si="35"/>
        <v>6830000</v>
      </c>
      <c r="F156" s="196">
        <f t="shared" si="35"/>
        <v>6830000</v>
      </c>
      <c r="G156" s="196">
        <f t="shared" si="36"/>
        <v>6830000</v>
      </c>
      <c r="H156" s="196">
        <f t="shared" si="36"/>
        <v>6830000</v>
      </c>
      <c r="I156" s="196">
        <f t="shared" si="36"/>
        <v>6932107</v>
      </c>
      <c r="J156" s="196">
        <f>SUM(J138+J143+J147+J151)</f>
        <v>5094264</v>
      </c>
    </row>
    <row r="157" spans="1:10" s="135" customFormat="1" ht="12.75" customHeight="1">
      <c r="A157" s="194" t="s">
        <v>396</v>
      </c>
      <c r="B157" s="153"/>
      <c r="C157" s="195" t="s">
        <v>698</v>
      </c>
      <c r="D157" s="195"/>
      <c r="E157" s="196">
        <f aca="true" t="shared" si="37" ref="E157:J157">SUM(E139+E152)</f>
        <v>400000</v>
      </c>
      <c r="F157" s="196">
        <f t="shared" si="37"/>
        <v>400000</v>
      </c>
      <c r="G157" s="196">
        <f t="shared" si="37"/>
        <v>400000</v>
      </c>
      <c r="H157" s="196">
        <f t="shared" si="37"/>
        <v>400000</v>
      </c>
      <c r="I157" s="196">
        <f t="shared" si="37"/>
        <v>400000</v>
      </c>
      <c r="J157" s="196">
        <f t="shared" si="37"/>
        <v>703777</v>
      </c>
    </row>
    <row r="158" spans="1:10" s="135" customFormat="1" ht="19.5" customHeight="1">
      <c r="A158" s="180" t="s">
        <v>397</v>
      </c>
      <c r="B158" s="226" t="s">
        <v>187</v>
      </c>
      <c r="C158" s="1706" t="s">
        <v>251</v>
      </c>
      <c r="D158" s="1706"/>
      <c r="E158" s="1706"/>
      <c r="F158" s="56"/>
      <c r="G158" s="56"/>
      <c r="H158" s="56"/>
      <c r="I158" s="56"/>
      <c r="J158" s="56"/>
    </row>
    <row r="159" spans="1:10" s="143" customFormat="1" ht="24" customHeight="1">
      <c r="A159" s="180" t="s">
        <v>398</v>
      </c>
      <c r="B159" s="145" t="s">
        <v>38</v>
      </c>
      <c r="C159" s="227" t="s">
        <v>399</v>
      </c>
      <c r="D159" s="179">
        <v>5</v>
      </c>
      <c r="E159" s="76">
        <f aca="true" t="shared" si="38" ref="E159:J159">SUM(E160:E163)</f>
        <v>30161000</v>
      </c>
      <c r="F159" s="76">
        <f t="shared" si="38"/>
        <v>30161000</v>
      </c>
      <c r="G159" s="76">
        <f t="shared" si="38"/>
        <v>30161000</v>
      </c>
      <c r="H159" s="76">
        <f t="shared" si="38"/>
        <v>30161000</v>
      </c>
      <c r="I159" s="76">
        <f t="shared" si="38"/>
        <v>30161000</v>
      </c>
      <c r="J159" s="76">
        <f t="shared" si="38"/>
        <v>30161000</v>
      </c>
    </row>
    <row r="160" spans="1:10" s="135" customFormat="1" ht="12.75" customHeight="1">
      <c r="A160" s="180" t="s">
        <v>400</v>
      </c>
      <c r="B160" s="149"/>
      <c r="C160" s="140" t="s">
        <v>264</v>
      </c>
      <c r="D160" s="182"/>
      <c r="E160" s="97">
        <v>9056000</v>
      </c>
      <c r="F160" s="97">
        <v>9056000</v>
      </c>
      <c r="G160" s="97">
        <v>9056000</v>
      </c>
      <c r="H160" s="97">
        <v>9056000</v>
      </c>
      <c r="I160" s="97">
        <v>9056000</v>
      </c>
      <c r="J160" s="97">
        <v>9056000</v>
      </c>
    </row>
    <row r="161" spans="1:10" s="135" customFormat="1" ht="12.75" customHeight="1">
      <c r="A161" s="180" t="s">
        <v>401</v>
      </c>
      <c r="B161" s="149"/>
      <c r="C161" s="140" t="s">
        <v>371</v>
      </c>
      <c r="D161" s="182"/>
      <c r="E161" s="97">
        <v>2105000</v>
      </c>
      <c r="F161" s="97">
        <v>2105000</v>
      </c>
      <c r="G161" s="97">
        <v>2105000</v>
      </c>
      <c r="H161" s="97">
        <v>2105000</v>
      </c>
      <c r="I161" s="97">
        <v>2105000</v>
      </c>
      <c r="J161" s="97">
        <v>2105000</v>
      </c>
    </row>
    <row r="162" spans="1:10" s="135" customFormat="1" ht="12.75" customHeight="1">
      <c r="A162" s="180" t="s">
        <v>402</v>
      </c>
      <c r="B162" s="149"/>
      <c r="C162" s="140" t="s">
        <v>373</v>
      </c>
      <c r="D162" s="182"/>
      <c r="E162" s="97">
        <v>19000000</v>
      </c>
      <c r="F162" s="97">
        <v>19000000</v>
      </c>
      <c r="G162" s="97">
        <v>19000000</v>
      </c>
      <c r="H162" s="97">
        <v>19000000</v>
      </c>
      <c r="I162" s="97">
        <v>19000000</v>
      </c>
      <c r="J162" s="97">
        <v>19000000</v>
      </c>
    </row>
    <row r="163" spans="1:10" s="135" customFormat="1" ht="12.75" customHeight="1">
      <c r="A163" s="180" t="s">
        <v>403</v>
      </c>
      <c r="B163" s="149"/>
      <c r="C163" s="140" t="s">
        <v>632</v>
      </c>
      <c r="D163" s="182"/>
      <c r="E163" s="97"/>
      <c r="F163" s="97"/>
      <c r="G163" s="97"/>
      <c r="H163" s="97"/>
      <c r="I163" s="97"/>
      <c r="J163" s="97"/>
    </row>
    <row r="164" spans="1:10" s="135" customFormat="1" ht="12.75">
      <c r="A164" s="180" t="s">
        <v>405</v>
      </c>
      <c r="B164" s="149" t="s">
        <v>40</v>
      </c>
      <c r="C164" s="227" t="s">
        <v>404</v>
      </c>
      <c r="D164" s="179">
        <v>1</v>
      </c>
      <c r="E164" s="76">
        <f aca="true" t="shared" si="39" ref="E164:J164">SUM(E165:E167)</f>
        <v>8390000</v>
      </c>
      <c r="F164" s="76">
        <f t="shared" si="39"/>
        <v>8390000</v>
      </c>
      <c r="G164" s="76">
        <f t="shared" si="39"/>
        <v>8390000</v>
      </c>
      <c r="H164" s="76">
        <f t="shared" si="39"/>
        <v>8390000</v>
      </c>
      <c r="I164" s="76">
        <f t="shared" si="39"/>
        <v>8390000</v>
      </c>
      <c r="J164" s="76">
        <f t="shared" si="39"/>
        <v>8390000</v>
      </c>
    </row>
    <row r="165" spans="1:10" s="135" customFormat="1" ht="12.75" customHeight="1">
      <c r="A165" s="180" t="s">
        <v>406</v>
      </c>
      <c r="B165" s="149"/>
      <c r="C165" s="140" t="s">
        <v>264</v>
      </c>
      <c r="D165" s="182"/>
      <c r="E165" s="97">
        <v>2751000</v>
      </c>
      <c r="F165" s="97">
        <v>2751000</v>
      </c>
      <c r="G165" s="97">
        <v>2751000</v>
      </c>
      <c r="H165" s="97">
        <v>2751000</v>
      </c>
      <c r="I165" s="97">
        <v>2751000</v>
      </c>
      <c r="J165" s="97">
        <v>2751000</v>
      </c>
    </row>
    <row r="166" spans="1:10" s="135" customFormat="1" ht="12.75" customHeight="1">
      <c r="A166" s="180" t="s">
        <v>407</v>
      </c>
      <c r="B166" s="149"/>
      <c r="C166" s="140" t="s">
        <v>371</v>
      </c>
      <c r="D166" s="182"/>
      <c r="E166" s="97">
        <v>639000</v>
      </c>
      <c r="F166" s="97">
        <v>639000</v>
      </c>
      <c r="G166" s="97">
        <v>639000</v>
      </c>
      <c r="H166" s="97">
        <v>639000</v>
      </c>
      <c r="I166" s="97">
        <v>639000</v>
      </c>
      <c r="J166" s="97">
        <v>639000</v>
      </c>
    </row>
    <row r="167" spans="1:10" s="135" customFormat="1" ht="12.75" customHeight="1">
      <c r="A167" s="180" t="s">
        <v>408</v>
      </c>
      <c r="B167" s="149"/>
      <c r="C167" s="140" t="s">
        <v>373</v>
      </c>
      <c r="D167" s="182"/>
      <c r="E167" s="97">
        <v>5000000</v>
      </c>
      <c r="F167" s="97">
        <v>5000000</v>
      </c>
      <c r="G167" s="97">
        <v>5000000</v>
      </c>
      <c r="H167" s="97">
        <v>5000000</v>
      </c>
      <c r="I167" s="97">
        <v>5000000</v>
      </c>
      <c r="J167" s="97">
        <v>5000000</v>
      </c>
    </row>
    <row r="168" spans="1:10" s="135" customFormat="1" ht="29.25" customHeight="1">
      <c r="A168" s="180" t="s">
        <v>410</v>
      </c>
      <c r="B168" s="75" t="s">
        <v>47</v>
      </c>
      <c r="C168" s="228" t="s">
        <v>409</v>
      </c>
      <c r="D168" s="229">
        <v>0</v>
      </c>
      <c r="E168" s="230">
        <f aca="true" t="shared" si="40" ref="E168:J168">SUM(E169:E172)</f>
        <v>0</v>
      </c>
      <c r="F168" s="230">
        <f t="shared" si="40"/>
        <v>0</v>
      </c>
      <c r="G168" s="230">
        <f t="shared" si="40"/>
        <v>0</v>
      </c>
      <c r="H168" s="230">
        <f t="shared" si="40"/>
        <v>0</v>
      </c>
      <c r="I168" s="230">
        <f t="shared" si="40"/>
        <v>0</v>
      </c>
      <c r="J168" s="230">
        <f t="shared" si="40"/>
        <v>0</v>
      </c>
    </row>
    <row r="169" spans="1:10" s="135" customFormat="1" ht="12.75" customHeight="1">
      <c r="A169" s="180" t="s">
        <v>411</v>
      </c>
      <c r="B169" s="98"/>
      <c r="C169" s="147" t="s">
        <v>264</v>
      </c>
      <c r="D169" s="231"/>
      <c r="E169" s="232">
        <v>0</v>
      </c>
      <c r="F169" s="232">
        <v>0</v>
      </c>
      <c r="G169" s="232">
        <v>0</v>
      </c>
      <c r="H169" s="232">
        <v>0</v>
      </c>
      <c r="I169" s="232">
        <v>0</v>
      </c>
      <c r="J169" s="232">
        <v>0</v>
      </c>
    </row>
    <row r="170" spans="1:10" s="135" customFormat="1" ht="12.75" customHeight="1">
      <c r="A170" s="180" t="s">
        <v>412</v>
      </c>
      <c r="B170" s="98"/>
      <c r="C170" s="147" t="s">
        <v>265</v>
      </c>
      <c r="D170" s="231"/>
      <c r="E170" s="232">
        <v>0</v>
      </c>
      <c r="F170" s="232">
        <v>0</v>
      </c>
      <c r="G170" s="232">
        <v>0</v>
      </c>
      <c r="H170" s="232">
        <v>0</v>
      </c>
      <c r="I170" s="232">
        <v>0</v>
      </c>
      <c r="J170" s="232">
        <v>0</v>
      </c>
    </row>
    <row r="171" spans="1:10" s="135" customFormat="1" ht="12.75" customHeight="1">
      <c r="A171" s="180" t="s">
        <v>413</v>
      </c>
      <c r="B171" s="98"/>
      <c r="C171" s="147" t="s">
        <v>266</v>
      </c>
      <c r="D171" s="231"/>
      <c r="E171" s="232">
        <v>0</v>
      </c>
      <c r="F171" s="232">
        <v>0</v>
      </c>
      <c r="G171" s="232">
        <v>0</v>
      </c>
      <c r="H171" s="232">
        <v>0</v>
      </c>
      <c r="I171" s="232">
        <v>0</v>
      </c>
      <c r="J171" s="232">
        <v>0</v>
      </c>
    </row>
    <row r="172" spans="1:10" s="135" customFormat="1" ht="12.75" customHeight="1">
      <c r="A172" s="180" t="s">
        <v>414</v>
      </c>
      <c r="B172" s="98"/>
      <c r="C172" s="147" t="s">
        <v>263</v>
      </c>
      <c r="D172" s="231"/>
      <c r="E172" s="232">
        <v>0</v>
      </c>
      <c r="F172" s="232">
        <v>0</v>
      </c>
      <c r="G172" s="232">
        <v>0</v>
      </c>
      <c r="H172" s="232">
        <v>0</v>
      </c>
      <c r="I172" s="232">
        <v>0</v>
      </c>
      <c r="J172" s="232">
        <v>0</v>
      </c>
    </row>
    <row r="173" spans="1:10" s="143" customFormat="1" ht="12.75" customHeight="1">
      <c r="A173" s="180" t="s">
        <v>416</v>
      </c>
      <c r="B173" s="145" t="s">
        <v>49</v>
      </c>
      <c r="C173" s="13" t="s">
        <v>415</v>
      </c>
      <c r="D173" s="179"/>
      <c r="E173" s="76">
        <f aca="true" t="shared" si="41" ref="E173:J173">SUM(E174:E175)</f>
        <v>500000</v>
      </c>
      <c r="F173" s="76">
        <f t="shared" si="41"/>
        <v>500000</v>
      </c>
      <c r="G173" s="76">
        <f t="shared" si="41"/>
        <v>500000</v>
      </c>
      <c r="H173" s="76">
        <f t="shared" si="41"/>
        <v>500000</v>
      </c>
      <c r="I173" s="76">
        <f t="shared" si="41"/>
        <v>500000</v>
      </c>
      <c r="J173" s="76">
        <f t="shared" si="41"/>
        <v>500000</v>
      </c>
    </row>
    <row r="174" spans="1:10" s="135" customFormat="1" ht="12.75" customHeight="1">
      <c r="A174" s="180" t="s">
        <v>417</v>
      </c>
      <c r="B174" s="149"/>
      <c r="C174" s="140" t="s">
        <v>261</v>
      </c>
      <c r="D174" s="182"/>
      <c r="E174" s="97">
        <v>500000</v>
      </c>
      <c r="F174" s="97">
        <v>500000</v>
      </c>
      <c r="G174" s="97">
        <v>500000</v>
      </c>
      <c r="H174" s="97">
        <v>500000</v>
      </c>
      <c r="I174" s="97">
        <v>500000</v>
      </c>
      <c r="J174" s="97">
        <v>500000</v>
      </c>
    </row>
    <row r="175" spans="1:10" s="135" customFormat="1" ht="12.75" customHeight="1">
      <c r="A175" s="180" t="s">
        <v>418</v>
      </c>
      <c r="B175" s="149"/>
      <c r="C175" s="140" t="s">
        <v>697</v>
      </c>
      <c r="D175" s="182"/>
      <c r="E175" s="97"/>
      <c r="F175" s="97"/>
      <c r="G175" s="97"/>
      <c r="H175" s="97"/>
      <c r="I175" s="97"/>
      <c r="J175" s="97"/>
    </row>
    <row r="176" spans="1:10" s="143" customFormat="1" ht="12.75" customHeight="1">
      <c r="A176" s="180" t="s">
        <v>420</v>
      </c>
      <c r="B176" s="145" t="s">
        <v>51</v>
      </c>
      <c r="C176" s="13" t="s">
        <v>419</v>
      </c>
      <c r="D176" s="179"/>
      <c r="E176" s="76">
        <f aca="true" t="shared" si="42" ref="E176:J176">SUM(E177)</f>
        <v>430000</v>
      </c>
      <c r="F176" s="76">
        <f t="shared" si="42"/>
        <v>430000</v>
      </c>
      <c r="G176" s="76">
        <f t="shared" si="42"/>
        <v>430000</v>
      </c>
      <c r="H176" s="76">
        <f t="shared" si="42"/>
        <v>430000</v>
      </c>
      <c r="I176" s="76">
        <f t="shared" si="42"/>
        <v>430000</v>
      </c>
      <c r="J176" s="76">
        <f t="shared" si="42"/>
        <v>430000</v>
      </c>
    </row>
    <row r="177" spans="1:10" s="135" customFormat="1" ht="12.75" customHeight="1">
      <c r="A177" s="180" t="s">
        <v>421</v>
      </c>
      <c r="B177" s="149"/>
      <c r="C177" s="140" t="s">
        <v>261</v>
      </c>
      <c r="D177" s="182"/>
      <c r="E177" s="97">
        <v>430000</v>
      </c>
      <c r="F177" s="97">
        <v>430000</v>
      </c>
      <c r="G177" s="97">
        <v>430000</v>
      </c>
      <c r="H177" s="97">
        <v>430000</v>
      </c>
      <c r="I177" s="97">
        <v>430000</v>
      </c>
      <c r="J177" s="97">
        <v>430000</v>
      </c>
    </row>
    <row r="178" spans="1:10" s="143" customFormat="1" ht="12.75" customHeight="1">
      <c r="A178" s="180" t="s">
        <v>422</v>
      </c>
      <c r="B178" s="145" t="s">
        <v>53</v>
      </c>
      <c r="C178" s="13" t="s">
        <v>300</v>
      </c>
      <c r="D178" s="179">
        <v>12</v>
      </c>
      <c r="E178" s="76">
        <f aca="true" t="shared" si="43" ref="E178:J178">SUM(E179:E182)</f>
        <v>29002000</v>
      </c>
      <c r="F178" s="76">
        <f t="shared" si="43"/>
        <v>34136000</v>
      </c>
      <c r="G178" s="76">
        <f t="shared" si="43"/>
        <v>34391656</v>
      </c>
      <c r="H178" s="76">
        <f t="shared" si="43"/>
        <v>34391656</v>
      </c>
      <c r="I178" s="76">
        <f t="shared" si="43"/>
        <v>34441188</v>
      </c>
      <c r="J178" s="76">
        <f t="shared" si="43"/>
        <v>31890697</v>
      </c>
    </row>
    <row r="179" spans="1:10" s="135" customFormat="1" ht="12.75" customHeight="1">
      <c r="A179" s="180" t="s">
        <v>423</v>
      </c>
      <c r="B179" s="149"/>
      <c r="C179" s="140" t="s">
        <v>264</v>
      </c>
      <c r="D179" s="182"/>
      <c r="E179" s="97">
        <v>16938000</v>
      </c>
      <c r="F179" s="97">
        <v>21126000</v>
      </c>
      <c r="G179" s="97">
        <v>21340020</v>
      </c>
      <c r="H179" s="97">
        <v>21340020</v>
      </c>
      <c r="I179" s="97">
        <v>21380620</v>
      </c>
      <c r="J179" s="97">
        <v>21314162</v>
      </c>
    </row>
    <row r="180" spans="1:10" s="135" customFormat="1" ht="12.75" customHeight="1">
      <c r="A180" s="180" t="s">
        <v>424</v>
      </c>
      <c r="B180" s="149"/>
      <c r="C180" s="140" t="s">
        <v>371</v>
      </c>
      <c r="D180" s="182"/>
      <c r="E180" s="97">
        <v>3902000</v>
      </c>
      <c r="F180" s="97">
        <v>4848000</v>
      </c>
      <c r="G180" s="97">
        <v>4889636</v>
      </c>
      <c r="H180" s="97">
        <v>4889636</v>
      </c>
      <c r="I180" s="97">
        <v>4898568</v>
      </c>
      <c r="J180" s="97">
        <v>5114898</v>
      </c>
    </row>
    <row r="181" spans="1:10" s="135" customFormat="1" ht="12.75" customHeight="1">
      <c r="A181" s="180" t="s">
        <v>425</v>
      </c>
      <c r="B181" s="149"/>
      <c r="C181" s="140" t="s">
        <v>373</v>
      </c>
      <c r="D181" s="182"/>
      <c r="E181" s="97">
        <v>7812000</v>
      </c>
      <c r="F181" s="97">
        <v>7812000</v>
      </c>
      <c r="G181" s="97">
        <v>7662000</v>
      </c>
      <c r="H181" s="97">
        <v>7662000</v>
      </c>
      <c r="I181" s="97">
        <v>7662000</v>
      </c>
      <c r="J181" s="97">
        <v>4691094</v>
      </c>
    </row>
    <row r="182" spans="1:10" s="135" customFormat="1" ht="12.75" customHeight="1">
      <c r="A182" s="180" t="s">
        <v>783</v>
      </c>
      <c r="B182" s="149"/>
      <c r="C182" s="140" t="s">
        <v>698</v>
      </c>
      <c r="D182" s="182"/>
      <c r="E182" s="97">
        <v>350000</v>
      </c>
      <c r="F182" s="97">
        <v>350000</v>
      </c>
      <c r="G182" s="97">
        <v>500000</v>
      </c>
      <c r="H182" s="97">
        <v>500000</v>
      </c>
      <c r="I182" s="97">
        <v>500000</v>
      </c>
      <c r="J182" s="97">
        <v>770543</v>
      </c>
    </row>
    <row r="183" spans="1:10" s="143" customFormat="1" ht="12.75" customHeight="1">
      <c r="A183" s="180" t="s">
        <v>784</v>
      </c>
      <c r="B183" s="145" t="s">
        <v>55</v>
      </c>
      <c r="C183" s="13" t="s">
        <v>427</v>
      </c>
      <c r="D183" s="179"/>
      <c r="E183" s="76">
        <f aca="true" t="shared" si="44" ref="E183:J183">SUM(E184)</f>
        <v>640000</v>
      </c>
      <c r="F183" s="76">
        <f t="shared" si="44"/>
        <v>640000</v>
      </c>
      <c r="G183" s="76">
        <f t="shared" si="44"/>
        <v>640000</v>
      </c>
      <c r="H183" s="76">
        <f t="shared" si="44"/>
        <v>640000</v>
      </c>
      <c r="I183" s="76">
        <f t="shared" si="44"/>
        <v>640000</v>
      </c>
      <c r="J183" s="76">
        <f t="shared" si="44"/>
        <v>640000</v>
      </c>
    </row>
    <row r="184" spans="1:10" s="135" customFormat="1" ht="12.75" customHeight="1">
      <c r="A184" s="180" t="s">
        <v>785</v>
      </c>
      <c r="B184" s="149"/>
      <c r="C184" s="140" t="s">
        <v>261</v>
      </c>
      <c r="D184" s="182"/>
      <c r="E184" s="97">
        <v>640000</v>
      </c>
      <c r="F184" s="97">
        <v>640000</v>
      </c>
      <c r="G184" s="97">
        <v>640000</v>
      </c>
      <c r="H184" s="97">
        <v>640000</v>
      </c>
      <c r="I184" s="97">
        <v>640000</v>
      </c>
      <c r="J184" s="97">
        <v>640000</v>
      </c>
    </row>
    <row r="185" spans="1:10" s="12" customFormat="1" ht="14.25" customHeight="1">
      <c r="A185" s="180" t="s">
        <v>786</v>
      </c>
      <c r="B185" s="264" t="s">
        <v>57</v>
      </c>
      <c r="C185" s="118" t="s">
        <v>435</v>
      </c>
      <c r="D185" s="118"/>
      <c r="E185" s="76">
        <f aca="true" t="shared" si="45" ref="E185:J185">SUM(E186)</f>
        <v>720000</v>
      </c>
      <c r="F185" s="76">
        <f t="shared" si="45"/>
        <v>720000</v>
      </c>
      <c r="G185" s="76">
        <f t="shared" si="45"/>
        <v>720000</v>
      </c>
      <c r="H185" s="76">
        <f t="shared" si="45"/>
        <v>720000</v>
      </c>
      <c r="I185" s="76">
        <f t="shared" si="45"/>
        <v>720000</v>
      </c>
      <c r="J185" s="76">
        <f t="shared" si="45"/>
        <v>720000</v>
      </c>
    </row>
    <row r="186" spans="1:250" ht="12.75" customHeight="1">
      <c r="A186" s="180" t="s">
        <v>426</v>
      </c>
      <c r="B186" s="642"/>
      <c r="C186" s="236" t="s">
        <v>261</v>
      </c>
      <c r="D186" s="236"/>
      <c r="E186" s="97">
        <v>720000</v>
      </c>
      <c r="F186" s="97">
        <v>720000</v>
      </c>
      <c r="G186" s="97">
        <v>720000</v>
      </c>
      <c r="H186" s="97">
        <v>720000</v>
      </c>
      <c r="I186" s="97">
        <v>720000</v>
      </c>
      <c r="J186" s="97">
        <v>720000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1:250" ht="12.75" customHeight="1">
      <c r="A187" s="180" t="s">
        <v>428</v>
      </c>
      <c r="B187" s="264" t="s">
        <v>86</v>
      </c>
      <c r="C187" s="118" t="s">
        <v>295</v>
      </c>
      <c r="D187" s="118"/>
      <c r="E187" s="237">
        <f aca="true" t="shared" si="46" ref="E187:J187">SUM(E188:E191)</f>
        <v>15145000</v>
      </c>
      <c r="F187" s="237">
        <f t="shared" si="46"/>
        <v>9941407</v>
      </c>
      <c r="G187" s="237">
        <f t="shared" si="46"/>
        <v>9941407</v>
      </c>
      <c r="H187" s="237">
        <f t="shared" si="46"/>
        <v>9941407</v>
      </c>
      <c r="I187" s="237">
        <f t="shared" si="46"/>
        <v>9941407</v>
      </c>
      <c r="J187" s="237">
        <f t="shared" si="46"/>
        <v>9941407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1:250" ht="12.75" customHeight="1">
      <c r="A188" s="180" t="s">
        <v>429</v>
      </c>
      <c r="B188" s="236"/>
      <c r="C188" s="140" t="s">
        <v>264</v>
      </c>
      <c r="D188" s="236"/>
      <c r="E188" s="238">
        <v>13104000</v>
      </c>
      <c r="F188" s="238">
        <v>8956596</v>
      </c>
      <c r="G188" s="238">
        <v>8956596</v>
      </c>
      <c r="H188" s="238">
        <v>8956596</v>
      </c>
      <c r="I188" s="238">
        <v>8956596</v>
      </c>
      <c r="J188" s="238">
        <v>8956596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1:250" ht="12.75" customHeight="1">
      <c r="A189" s="180" t="s">
        <v>430</v>
      </c>
      <c r="B189" s="236"/>
      <c r="C189" s="234" t="s">
        <v>371</v>
      </c>
      <c r="D189" s="236"/>
      <c r="E189" s="238">
        <v>1441000</v>
      </c>
      <c r="F189" s="238">
        <v>984811</v>
      </c>
      <c r="G189" s="238">
        <v>984811</v>
      </c>
      <c r="H189" s="238">
        <v>984811</v>
      </c>
      <c r="I189" s="238">
        <v>984811</v>
      </c>
      <c r="J189" s="238">
        <v>984811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1:250" ht="12.75" customHeight="1">
      <c r="A190" s="180" t="s">
        <v>431</v>
      </c>
      <c r="B190" s="643"/>
      <c r="C190" s="234" t="s">
        <v>373</v>
      </c>
      <c r="D190" s="643"/>
      <c r="E190" s="1043">
        <v>600000</v>
      </c>
      <c r="F190" s="1043">
        <v>0</v>
      </c>
      <c r="G190" s="1043">
        <v>0</v>
      </c>
      <c r="H190" s="1043">
        <v>0</v>
      </c>
      <c r="I190" s="1043">
        <v>0</v>
      </c>
      <c r="J190" s="1043">
        <v>0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1:250" ht="12.75" customHeight="1">
      <c r="A191" s="1042" t="s">
        <v>432</v>
      </c>
      <c r="B191" s="644"/>
      <c r="C191" s="489" t="s">
        <v>698</v>
      </c>
      <c r="D191" s="644"/>
      <c r="E191" s="1047"/>
      <c r="F191" s="1047"/>
      <c r="G191" s="1047"/>
      <c r="H191" s="1047"/>
      <c r="I191" s="1047"/>
      <c r="J191" s="1047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1:250" s="78" customFormat="1" ht="12.75" customHeight="1">
      <c r="A192" s="175" t="s">
        <v>433</v>
      </c>
      <c r="B192" s="1037" t="s">
        <v>59</v>
      </c>
      <c r="C192" s="728" t="s">
        <v>719</v>
      </c>
      <c r="D192" s="1037"/>
      <c r="E192" s="1048">
        <f aca="true" t="shared" si="47" ref="E192:J192">SUM(E193:E195)</f>
        <v>9134000</v>
      </c>
      <c r="F192" s="1048">
        <f t="shared" si="47"/>
        <v>4600000</v>
      </c>
      <c r="G192" s="1048">
        <f t="shared" si="47"/>
        <v>4600000</v>
      </c>
      <c r="H192" s="1048">
        <f t="shared" si="47"/>
        <v>4600000</v>
      </c>
      <c r="I192" s="1048">
        <f t="shared" si="47"/>
        <v>5507459</v>
      </c>
      <c r="J192" s="1048">
        <f t="shared" si="47"/>
        <v>5507459</v>
      </c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</row>
    <row r="193" spans="1:250" ht="12.75" customHeight="1">
      <c r="A193" s="1042" t="s">
        <v>434</v>
      </c>
      <c r="B193" s="644"/>
      <c r="C193" s="140" t="s">
        <v>264</v>
      </c>
      <c r="D193" s="644"/>
      <c r="E193" s="1047">
        <v>4188000</v>
      </c>
      <c r="F193" s="1047">
        <v>0</v>
      </c>
      <c r="G193" s="1047">
        <v>0</v>
      </c>
      <c r="H193" s="1047">
        <v>0</v>
      </c>
      <c r="I193" s="1047">
        <v>707818</v>
      </c>
      <c r="J193" s="1047">
        <v>707818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1:250" ht="12.75" customHeight="1">
      <c r="A194" s="180" t="s">
        <v>436</v>
      </c>
      <c r="B194" s="644"/>
      <c r="C194" s="234" t="s">
        <v>371</v>
      </c>
      <c r="D194" s="644"/>
      <c r="E194" s="1047">
        <v>946000</v>
      </c>
      <c r="F194" s="1047">
        <v>0</v>
      </c>
      <c r="G194" s="1047">
        <v>0</v>
      </c>
      <c r="H194" s="1047">
        <v>0</v>
      </c>
      <c r="I194" s="1047">
        <v>199641</v>
      </c>
      <c r="J194" s="1047">
        <v>199641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1:250" ht="12.75" customHeight="1">
      <c r="A195" s="1042" t="s">
        <v>437</v>
      </c>
      <c r="B195" s="644"/>
      <c r="C195" s="234" t="s">
        <v>373</v>
      </c>
      <c r="D195" s="644"/>
      <c r="E195" s="1047">
        <v>4000000</v>
      </c>
      <c r="F195" s="1047">
        <v>4600000</v>
      </c>
      <c r="G195" s="1047">
        <v>4600000</v>
      </c>
      <c r="H195" s="1047">
        <v>4600000</v>
      </c>
      <c r="I195" s="1047">
        <v>4600000</v>
      </c>
      <c r="J195" s="1047">
        <v>4600000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1:10" s="135" customFormat="1" ht="30" customHeight="1">
      <c r="A196" s="180" t="s">
        <v>438</v>
      </c>
      <c r="B196" s="636"/>
      <c r="C196" s="1044" t="s">
        <v>251</v>
      </c>
      <c r="D196" s="1045">
        <v>23</v>
      </c>
      <c r="E196" s="1046">
        <f aca="true" t="shared" si="48" ref="E196:J196">SUM(E197:E200)</f>
        <v>94122000</v>
      </c>
      <c r="F196" s="1046">
        <f t="shared" si="48"/>
        <v>89518407</v>
      </c>
      <c r="G196" s="1046">
        <f t="shared" si="48"/>
        <v>89774063</v>
      </c>
      <c r="H196" s="1046">
        <f t="shared" si="48"/>
        <v>89774063</v>
      </c>
      <c r="I196" s="1046">
        <f t="shared" si="48"/>
        <v>90731054</v>
      </c>
      <c r="J196" s="1046">
        <f t="shared" si="48"/>
        <v>88180563</v>
      </c>
    </row>
    <row r="197" spans="1:10" s="135" customFormat="1" ht="12.75" customHeight="1">
      <c r="A197" s="1042" t="s">
        <v>439</v>
      </c>
      <c r="B197" s="207"/>
      <c r="C197" s="208" t="s">
        <v>264</v>
      </c>
      <c r="D197" s="195"/>
      <c r="E197" s="196">
        <f aca="true" t="shared" si="49" ref="E197:G198">SUM(E160+E165+E169+E179+E188)+E193</f>
        <v>46037000</v>
      </c>
      <c r="F197" s="196">
        <f t="shared" si="49"/>
        <v>41889596</v>
      </c>
      <c r="G197" s="196">
        <f t="shared" si="49"/>
        <v>42103616</v>
      </c>
      <c r="H197" s="196">
        <f aca="true" t="shared" si="50" ref="H197:J198">SUM(H160+H165+H169+H179+H188)+H193</f>
        <v>42103616</v>
      </c>
      <c r="I197" s="196">
        <f t="shared" si="50"/>
        <v>42852034</v>
      </c>
      <c r="J197" s="196">
        <f t="shared" si="50"/>
        <v>42785576</v>
      </c>
    </row>
    <row r="198" spans="1:10" s="135" customFormat="1" ht="12.75" customHeight="1">
      <c r="A198" s="180" t="s">
        <v>440</v>
      </c>
      <c r="B198" s="210"/>
      <c r="C198" s="211" t="s">
        <v>265</v>
      </c>
      <c r="D198" s="195"/>
      <c r="E198" s="196">
        <f t="shared" si="49"/>
        <v>9033000</v>
      </c>
      <c r="F198" s="196">
        <f t="shared" si="49"/>
        <v>8576811</v>
      </c>
      <c r="G198" s="196">
        <f t="shared" si="49"/>
        <v>8618447</v>
      </c>
      <c r="H198" s="196">
        <f t="shared" si="50"/>
        <v>8618447</v>
      </c>
      <c r="I198" s="196">
        <f t="shared" si="50"/>
        <v>8827020</v>
      </c>
      <c r="J198" s="196">
        <f t="shared" si="50"/>
        <v>9043350</v>
      </c>
    </row>
    <row r="199" spans="1:10" s="135" customFormat="1" ht="12.75" customHeight="1">
      <c r="A199" s="1042" t="s">
        <v>441</v>
      </c>
      <c r="B199" s="153"/>
      <c r="C199" s="195" t="s">
        <v>266</v>
      </c>
      <c r="D199" s="195"/>
      <c r="E199" s="196">
        <f aca="true" t="shared" si="51" ref="E199:J199">SUM(E162+E167+E171+E174+E177+E181+E184+E186+E190)+E195</f>
        <v>38702000</v>
      </c>
      <c r="F199" s="196">
        <f t="shared" si="51"/>
        <v>38702000</v>
      </c>
      <c r="G199" s="196">
        <f t="shared" si="51"/>
        <v>38552000</v>
      </c>
      <c r="H199" s="196">
        <f t="shared" si="51"/>
        <v>38552000</v>
      </c>
      <c r="I199" s="196">
        <f t="shared" si="51"/>
        <v>38552000</v>
      </c>
      <c r="J199" s="196">
        <f t="shared" si="51"/>
        <v>35581094</v>
      </c>
    </row>
    <row r="200" spans="1:10" s="135" customFormat="1" ht="12.75" customHeight="1">
      <c r="A200" s="180" t="s">
        <v>442</v>
      </c>
      <c r="B200" s="153"/>
      <c r="C200" s="195" t="s">
        <v>319</v>
      </c>
      <c r="D200" s="195"/>
      <c r="E200" s="196">
        <f aca="true" t="shared" si="52" ref="E200:J200">SUM(E163+E172+E175+E182+E191)</f>
        <v>350000</v>
      </c>
      <c r="F200" s="196">
        <f t="shared" si="52"/>
        <v>350000</v>
      </c>
      <c r="G200" s="196">
        <f t="shared" si="52"/>
        <v>500000</v>
      </c>
      <c r="H200" s="196">
        <f t="shared" si="52"/>
        <v>500000</v>
      </c>
      <c r="I200" s="196">
        <f t="shared" si="52"/>
        <v>500000</v>
      </c>
      <c r="J200" s="196">
        <f t="shared" si="52"/>
        <v>770543</v>
      </c>
    </row>
    <row r="201" spans="1:10" s="135" customFormat="1" ht="37.5" customHeight="1">
      <c r="A201" s="1042" t="s">
        <v>443</v>
      </c>
      <c r="B201" s="239" t="s">
        <v>188</v>
      </c>
      <c r="C201" s="240" t="s">
        <v>447</v>
      </c>
      <c r="D201" s="241">
        <f>SUM(D202:D209)-D208</f>
        <v>0</v>
      </c>
      <c r="E201" s="154">
        <f aca="true" t="shared" si="53" ref="E201:J201">SUM(E202:E212)</f>
        <v>768297000</v>
      </c>
      <c r="F201" s="154">
        <f t="shared" si="53"/>
        <v>768366587</v>
      </c>
      <c r="G201" s="154">
        <f t="shared" si="53"/>
        <v>772773858</v>
      </c>
      <c r="H201" s="154">
        <f t="shared" si="53"/>
        <v>772773858</v>
      </c>
      <c r="I201" s="154">
        <f t="shared" si="53"/>
        <v>1142296737</v>
      </c>
      <c r="J201" s="154">
        <f t="shared" si="53"/>
        <v>1469992150</v>
      </c>
    </row>
    <row r="202" spans="1:10" s="135" customFormat="1" ht="12.75" customHeight="1">
      <c r="A202" s="180" t="s">
        <v>444</v>
      </c>
      <c r="B202" s="242"/>
      <c r="C202" s="193" t="s">
        <v>264</v>
      </c>
      <c r="D202" s="193">
        <f>D197+D154+D130+D89+D68</f>
        <v>0</v>
      </c>
      <c r="E202" s="154">
        <f aca="true" t="shared" si="54" ref="E202:F204">SUM(E68+E89+E130+E154+E197)</f>
        <v>210961000</v>
      </c>
      <c r="F202" s="154">
        <f t="shared" si="54"/>
        <v>207237896</v>
      </c>
      <c r="G202" s="154">
        <f aca="true" t="shared" si="55" ref="G202:I204">SUM(G68+G89+G130+G154+G197)</f>
        <v>208507299</v>
      </c>
      <c r="H202" s="154">
        <f t="shared" si="55"/>
        <v>208507299</v>
      </c>
      <c r="I202" s="154">
        <f t="shared" si="55"/>
        <v>211298067</v>
      </c>
      <c r="J202" s="154">
        <f>SUM(J68+J89+J130+J154+J197)</f>
        <v>208946160</v>
      </c>
    </row>
    <row r="203" spans="1:10" s="135" customFormat="1" ht="12.75" customHeight="1">
      <c r="A203" s="1042" t="s">
        <v>445</v>
      </c>
      <c r="B203" s="242"/>
      <c r="C203" s="193" t="s">
        <v>265</v>
      </c>
      <c r="D203" s="193">
        <f>D69+D90+D131+D155+D198</f>
        <v>0</v>
      </c>
      <c r="E203" s="154">
        <f t="shared" si="54"/>
        <v>46335000</v>
      </c>
      <c r="F203" s="154">
        <f t="shared" si="54"/>
        <v>45921315</v>
      </c>
      <c r="G203" s="154">
        <f t="shared" si="55"/>
        <v>46230616</v>
      </c>
      <c r="H203" s="154">
        <f t="shared" si="55"/>
        <v>46230616</v>
      </c>
      <c r="I203" s="154">
        <f t="shared" si="55"/>
        <v>46888505</v>
      </c>
      <c r="J203" s="154">
        <f>SUM(J69+J90+J131+J155+J198)</f>
        <v>46468229</v>
      </c>
    </row>
    <row r="204" spans="1:10" s="135" customFormat="1" ht="12.75" customHeight="1">
      <c r="A204" s="180" t="s">
        <v>446</v>
      </c>
      <c r="B204" s="242"/>
      <c r="C204" s="193" t="s">
        <v>266</v>
      </c>
      <c r="D204" s="193">
        <f>D70+D91+D132+D156+D199</f>
        <v>0</v>
      </c>
      <c r="E204" s="154">
        <f t="shared" si="54"/>
        <v>122160060</v>
      </c>
      <c r="F204" s="154">
        <f t="shared" si="54"/>
        <v>118844564</v>
      </c>
      <c r="G204" s="154">
        <f t="shared" si="55"/>
        <v>118447180</v>
      </c>
      <c r="H204" s="154">
        <f t="shared" si="55"/>
        <v>118447180</v>
      </c>
      <c r="I204" s="154">
        <f t="shared" si="55"/>
        <v>146963809</v>
      </c>
      <c r="J204" s="154">
        <f>SUM(J70+J91+J132+J156+J199)</f>
        <v>139170107</v>
      </c>
    </row>
    <row r="205" spans="1:10" s="135" customFormat="1" ht="24.75" customHeight="1">
      <c r="A205" s="1042" t="s">
        <v>448</v>
      </c>
      <c r="B205" s="242"/>
      <c r="C205" s="243" t="s">
        <v>270</v>
      </c>
      <c r="D205" s="193">
        <f>D71</f>
        <v>0</v>
      </c>
      <c r="E205" s="154">
        <f aca="true" t="shared" si="56" ref="E205:G206">SUM(E71)</f>
        <v>28610089</v>
      </c>
      <c r="F205" s="154">
        <f t="shared" si="56"/>
        <v>31516089</v>
      </c>
      <c r="G205" s="154">
        <f t="shared" si="56"/>
        <v>33989291</v>
      </c>
      <c r="H205" s="154">
        <f aca="true" t="shared" si="57" ref="H205:J206">SUM(H71)</f>
        <v>33989291</v>
      </c>
      <c r="I205" s="154">
        <f t="shared" si="57"/>
        <v>35173848</v>
      </c>
      <c r="J205" s="154">
        <f t="shared" si="57"/>
        <v>33983308</v>
      </c>
    </row>
    <row r="206" spans="1:10" s="135" customFormat="1" ht="12.75" customHeight="1">
      <c r="A206" s="180" t="s">
        <v>449</v>
      </c>
      <c r="B206" s="153"/>
      <c r="C206" s="193" t="s">
        <v>453</v>
      </c>
      <c r="D206" s="193">
        <f>D72</f>
        <v>0</v>
      </c>
      <c r="E206" s="154">
        <f t="shared" si="56"/>
        <v>3200000</v>
      </c>
      <c r="F206" s="154">
        <f t="shared" si="56"/>
        <v>3200000</v>
      </c>
      <c r="G206" s="154">
        <f t="shared" si="56"/>
        <v>3200000</v>
      </c>
      <c r="H206" s="154">
        <f t="shared" si="57"/>
        <v>3200000</v>
      </c>
      <c r="I206" s="154">
        <f t="shared" si="57"/>
        <v>3071000</v>
      </c>
      <c r="J206" s="154">
        <f t="shared" si="57"/>
        <v>4659500</v>
      </c>
    </row>
    <row r="207" spans="1:10" s="135" customFormat="1" ht="12.75" customHeight="1">
      <c r="A207" s="1042" t="s">
        <v>450</v>
      </c>
      <c r="B207" s="153"/>
      <c r="C207" s="193" t="s">
        <v>263</v>
      </c>
      <c r="D207" s="193">
        <f>D73+D200+D133+D92</f>
        <v>0</v>
      </c>
      <c r="E207" s="154">
        <f aca="true" t="shared" si="58" ref="E207:J207">SUM(E73+E92+E133+E157+E200)</f>
        <v>28192174</v>
      </c>
      <c r="F207" s="154">
        <f t="shared" si="58"/>
        <v>23935174</v>
      </c>
      <c r="G207" s="154">
        <f t="shared" si="58"/>
        <v>28905687</v>
      </c>
      <c r="H207" s="154">
        <f t="shared" si="58"/>
        <v>28905687</v>
      </c>
      <c r="I207" s="154">
        <f t="shared" si="58"/>
        <v>364046666</v>
      </c>
      <c r="J207" s="154">
        <f t="shared" si="58"/>
        <v>40912643</v>
      </c>
    </row>
    <row r="208" spans="1:10" s="135" customFormat="1" ht="12.75" customHeight="1">
      <c r="A208" s="180" t="s">
        <v>451</v>
      </c>
      <c r="B208" s="153"/>
      <c r="C208" s="193" t="s">
        <v>456</v>
      </c>
      <c r="D208" s="193"/>
      <c r="E208" s="154">
        <f aca="true" t="shared" si="59" ref="E208:J208">SUM(E74)</f>
        <v>281359235</v>
      </c>
      <c r="F208" s="154">
        <f t="shared" si="59"/>
        <v>277111346</v>
      </c>
      <c r="G208" s="154">
        <f t="shared" si="59"/>
        <v>277712085</v>
      </c>
      <c r="H208" s="154">
        <f t="shared" si="59"/>
        <v>277712085</v>
      </c>
      <c r="I208" s="154">
        <f t="shared" si="59"/>
        <v>278048647</v>
      </c>
      <c r="J208" s="154">
        <f t="shared" si="59"/>
        <v>270216255</v>
      </c>
    </row>
    <row r="209" spans="1:10" s="135" customFormat="1" ht="12.75" customHeight="1">
      <c r="A209" s="1042" t="s">
        <v>452</v>
      </c>
      <c r="B209" s="153"/>
      <c r="C209" s="193" t="s">
        <v>457</v>
      </c>
      <c r="D209" s="193"/>
      <c r="E209" s="154">
        <f aca="true" t="shared" si="60" ref="E209:J209">SUM(E76)</f>
        <v>41078165</v>
      </c>
      <c r="F209" s="154">
        <f t="shared" si="60"/>
        <v>52854665</v>
      </c>
      <c r="G209" s="154">
        <f t="shared" si="60"/>
        <v>47279029</v>
      </c>
      <c r="H209" s="154">
        <f t="shared" si="60"/>
        <v>47279029</v>
      </c>
      <c r="I209" s="154">
        <f t="shared" si="60"/>
        <v>47279029</v>
      </c>
      <c r="J209" s="154">
        <f t="shared" si="60"/>
        <v>715261087</v>
      </c>
    </row>
    <row r="210" spans="1:10" s="135" customFormat="1" ht="25.5" customHeight="1">
      <c r="A210" s="180" t="s">
        <v>454</v>
      </c>
      <c r="B210" s="153"/>
      <c r="C210" s="243" t="s">
        <v>287</v>
      </c>
      <c r="D210" s="193"/>
      <c r="E210" s="154">
        <f aca="true" t="shared" si="61" ref="E210:J210">SUM(E75)</f>
        <v>6401277</v>
      </c>
      <c r="F210" s="154">
        <f t="shared" si="61"/>
        <v>7745538</v>
      </c>
      <c r="G210" s="154">
        <f t="shared" si="61"/>
        <v>8502671</v>
      </c>
      <c r="H210" s="154">
        <f t="shared" si="61"/>
        <v>8502671</v>
      </c>
      <c r="I210" s="154">
        <f t="shared" si="61"/>
        <v>9473678</v>
      </c>
      <c r="J210" s="154">
        <f t="shared" si="61"/>
        <v>10321373</v>
      </c>
    </row>
    <row r="211" spans="1:10" s="135" customFormat="1" ht="12.75" customHeight="1">
      <c r="A211" s="1042" t="s">
        <v>455</v>
      </c>
      <c r="B211" s="153"/>
      <c r="C211" s="243" t="s">
        <v>291</v>
      </c>
      <c r="D211" s="193"/>
      <c r="E211" s="154"/>
      <c r="F211" s="154"/>
      <c r="G211" s="154"/>
      <c r="H211" s="154"/>
      <c r="I211" s="154"/>
      <c r="J211" s="154"/>
    </row>
    <row r="212" spans="1:10" s="135" customFormat="1" ht="12.75" customHeight="1">
      <c r="A212" s="180" t="s">
        <v>782</v>
      </c>
      <c r="B212" s="209"/>
      <c r="C212" s="244" t="s">
        <v>293</v>
      </c>
      <c r="D212" s="245"/>
      <c r="E212" s="246">
        <f aca="true" t="shared" si="62" ref="E212:J212">SUM(E77)</f>
        <v>0</v>
      </c>
      <c r="F212" s="246">
        <f t="shared" si="62"/>
        <v>0</v>
      </c>
      <c r="G212" s="246">
        <f t="shared" si="62"/>
        <v>0</v>
      </c>
      <c r="H212" s="246">
        <f t="shared" si="62"/>
        <v>0</v>
      </c>
      <c r="I212" s="246">
        <f t="shared" si="62"/>
        <v>53488</v>
      </c>
      <c r="J212" s="246">
        <f t="shared" si="62"/>
        <v>53488</v>
      </c>
    </row>
    <row r="213" spans="1:10" s="135" customFormat="1" ht="12.75" customHeight="1">
      <c r="A213" s="247"/>
      <c r="B213" s="136"/>
      <c r="E213" s="57"/>
      <c r="F213" s="57"/>
      <c r="G213" s="57"/>
      <c r="H213" s="57"/>
      <c r="I213" s="57"/>
      <c r="J213" s="57"/>
    </row>
    <row r="214" spans="1:10" s="135" customFormat="1" ht="12.75" customHeight="1">
      <c r="A214" s="247"/>
      <c r="B214" s="136"/>
      <c r="E214" s="57"/>
      <c r="F214" s="57"/>
      <c r="G214" s="57"/>
      <c r="H214" s="57"/>
      <c r="I214" s="57"/>
      <c r="J214" s="57"/>
    </row>
    <row r="215" spans="1:10" s="135" customFormat="1" ht="12.75" customHeight="1">
      <c r="A215" s="247"/>
      <c r="B215" s="136"/>
      <c r="E215" s="57"/>
      <c r="F215" s="57"/>
      <c r="G215" s="57"/>
      <c r="H215" s="57"/>
      <c r="I215" s="57"/>
      <c r="J215" s="57"/>
    </row>
    <row r="216" spans="1:10" s="135" customFormat="1" ht="12.75" customHeight="1">
      <c r="A216" s="247"/>
      <c r="B216" s="136"/>
      <c r="E216" s="57"/>
      <c r="F216" s="57"/>
      <c r="G216" s="57"/>
      <c r="H216" s="57"/>
      <c r="I216" s="57"/>
      <c r="J216" s="57"/>
    </row>
    <row r="217" spans="1:10" s="135" customFormat="1" ht="12.75" customHeight="1">
      <c r="A217" s="247"/>
      <c r="B217" s="136"/>
      <c r="E217" s="57"/>
      <c r="F217" s="57"/>
      <c r="G217" s="57"/>
      <c r="H217" s="57"/>
      <c r="I217" s="57"/>
      <c r="J217" s="57"/>
    </row>
    <row r="218" spans="1:10" s="135" customFormat="1" ht="12.75" customHeight="1">
      <c r="A218" s="247"/>
      <c r="B218" s="136"/>
      <c r="E218" s="57"/>
      <c r="F218" s="57"/>
      <c r="G218" s="57"/>
      <c r="H218" s="57"/>
      <c r="I218" s="57"/>
      <c r="J218" s="57"/>
    </row>
    <row r="219" spans="1:10" s="135" customFormat="1" ht="12.75" customHeight="1">
      <c r="A219" s="247"/>
      <c r="B219" s="136"/>
      <c r="E219" s="57"/>
      <c r="F219" s="57"/>
      <c r="G219" s="57"/>
      <c r="H219" s="57"/>
      <c r="I219" s="57"/>
      <c r="J219" s="57"/>
    </row>
    <row r="220" spans="1:10" s="135" customFormat="1" ht="12.75" customHeight="1">
      <c r="A220" s="247"/>
      <c r="B220" s="136"/>
      <c r="E220" s="57"/>
      <c r="F220" s="57"/>
      <c r="G220" s="57"/>
      <c r="H220" s="57"/>
      <c r="I220" s="57"/>
      <c r="J220" s="57"/>
    </row>
    <row r="221" spans="1:10" s="135" customFormat="1" ht="12.75" customHeight="1">
      <c r="A221" s="247"/>
      <c r="B221" s="136"/>
      <c r="E221" s="57"/>
      <c r="F221" s="57"/>
      <c r="G221" s="57"/>
      <c r="H221" s="57"/>
      <c r="I221" s="57"/>
      <c r="J221" s="57"/>
    </row>
    <row r="222" spans="1:10" s="135" customFormat="1" ht="12.75" customHeight="1">
      <c r="A222" s="247"/>
      <c r="B222" s="136"/>
      <c r="E222" s="57"/>
      <c r="F222" s="57"/>
      <c r="G222" s="57"/>
      <c r="H222" s="57"/>
      <c r="I222" s="57"/>
      <c r="J222" s="57"/>
    </row>
    <row r="223" spans="1:10" s="135" customFormat="1" ht="12.75" customHeight="1">
      <c r="A223" s="247"/>
      <c r="B223" s="136"/>
      <c r="E223" s="57"/>
      <c r="F223" s="57"/>
      <c r="G223" s="57"/>
      <c r="H223" s="57"/>
      <c r="I223" s="57"/>
      <c r="J223" s="57"/>
    </row>
    <row r="224" spans="1:10" s="135" customFormat="1" ht="12.75" customHeight="1">
      <c r="A224" s="247"/>
      <c r="B224" s="136"/>
      <c r="E224" s="57"/>
      <c r="F224" s="57"/>
      <c r="G224" s="57"/>
      <c r="H224" s="57"/>
      <c r="I224" s="57"/>
      <c r="J224" s="57"/>
    </row>
    <row r="225" spans="1:10" s="135" customFormat="1" ht="12.75" customHeight="1">
      <c r="A225" s="247"/>
      <c r="B225" s="136"/>
      <c r="E225" s="57"/>
      <c r="F225" s="57"/>
      <c r="G225" s="57"/>
      <c r="H225" s="57"/>
      <c r="I225" s="57"/>
      <c r="J225" s="57"/>
    </row>
    <row r="226" spans="1:10" s="135" customFormat="1" ht="12.75" customHeight="1">
      <c r="A226" s="247"/>
      <c r="B226" s="136"/>
      <c r="E226" s="57"/>
      <c r="F226" s="57"/>
      <c r="G226" s="57"/>
      <c r="H226" s="57"/>
      <c r="I226" s="57"/>
      <c r="J226" s="57"/>
    </row>
    <row r="227" spans="1:10" s="135" customFormat="1" ht="12.75" customHeight="1">
      <c r="A227" s="247"/>
      <c r="B227" s="136"/>
      <c r="E227" s="57"/>
      <c r="F227" s="57"/>
      <c r="G227" s="57"/>
      <c r="H227" s="57"/>
      <c r="I227" s="57"/>
      <c r="J227" s="57"/>
    </row>
    <row r="228" spans="1:10" s="135" customFormat="1" ht="12.75" customHeight="1">
      <c r="A228" s="247"/>
      <c r="B228" s="136"/>
      <c r="E228" s="57"/>
      <c r="F228" s="57"/>
      <c r="G228" s="57"/>
      <c r="H228" s="57"/>
      <c r="I228" s="57"/>
      <c r="J228" s="57"/>
    </row>
    <row r="229" spans="1:10" s="135" customFormat="1" ht="12.75" customHeight="1">
      <c r="A229" s="247"/>
      <c r="B229" s="136"/>
      <c r="E229" s="57"/>
      <c r="F229" s="57"/>
      <c r="G229" s="57"/>
      <c r="H229" s="57"/>
      <c r="I229" s="57"/>
      <c r="J229" s="57"/>
    </row>
    <row r="230" spans="1:10" s="135" customFormat="1" ht="12.75" customHeight="1">
      <c r="A230" s="247"/>
      <c r="B230" s="136"/>
      <c r="E230" s="57"/>
      <c r="F230" s="57"/>
      <c r="G230" s="57"/>
      <c r="H230" s="57"/>
      <c r="I230" s="57"/>
      <c r="J230" s="57"/>
    </row>
    <row r="231" spans="1:10" s="135" customFormat="1" ht="12.75" customHeight="1">
      <c r="A231" s="247"/>
      <c r="B231" s="136"/>
      <c r="E231" s="57"/>
      <c r="F231" s="57"/>
      <c r="G231" s="57"/>
      <c r="H231" s="57"/>
      <c r="I231" s="57"/>
      <c r="J231" s="57"/>
    </row>
    <row r="232" spans="1:10" s="135" customFormat="1" ht="12.75" customHeight="1">
      <c r="A232" s="247"/>
      <c r="B232" s="136"/>
      <c r="E232" s="57"/>
      <c r="F232" s="57"/>
      <c r="G232" s="57"/>
      <c r="H232" s="57"/>
      <c r="I232" s="57"/>
      <c r="J232" s="57"/>
    </row>
    <row r="233" spans="1:10" s="135" customFormat="1" ht="12.75" customHeight="1">
      <c r="A233" s="247"/>
      <c r="B233" s="136"/>
      <c r="E233" s="57"/>
      <c r="F233" s="57"/>
      <c r="G233" s="57"/>
      <c r="H233" s="57"/>
      <c r="I233" s="57"/>
      <c r="J233" s="57"/>
    </row>
    <row r="234" spans="1:10" s="135" customFormat="1" ht="12.75" customHeight="1">
      <c r="A234" s="247"/>
      <c r="B234" s="136"/>
      <c r="E234" s="57"/>
      <c r="F234" s="57"/>
      <c r="G234" s="57"/>
      <c r="H234" s="57"/>
      <c r="I234" s="57"/>
      <c r="J234" s="57"/>
    </row>
    <row r="235" spans="1:10" s="135" customFormat="1" ht="12.75" customHeight="1">
      <c r="A235" s="247"/>
      <c r="B235" s="136"/>
      <c r="E235" s="57"/>
      <c r="F235" s="57"/>
      <c r="G235" s="57"/>
      <c r="H235" s="57"/>
      <c r="I235" s="57"/>
      <c r="J235" s="57"/>
    </row>
    <row r="236" spans="1:10" s="135" customFormat="1" ht="12.75" customHeight="1">
      <c r="A236" s="247"/>
      <c r="B236" s="136"/>
      <c r="E236" s="57"/>
      <c r="F236" s="57"/>
      <c r="G236" s="57"/>
      <c r="H236" s="57"/>
      <c r="I236" s="57"/>
      <c r="J236" s="57"/>
    </row>
    <row r="237" spans="1:10" s="135" customFormat="1" ht="12.75" customHeight="1">
      <c r="A237" s="247"/>
      <c r="B237" s="136"/>
      <c r="E237" s="57"/>
      <c r="F237" s="57"/>
      <c r="G237" s="57"/>
      <c r="H237" s="57"/>
      <c r="I237" s="57"/>
      <c r="J237" s="57"/>
    </row>
    <row r="238" spans="1:10" s="135" customFormat="1" ht="12.75" customHeight="1">
      <c r="A238" s="247"/>
      <c r="B238" s="136"/>
      <c r="E238" s="57"/>
      <c r="F238" s="57"/>
      <c r="G238" s="57"/>
      <c r="H238" s="57"/>
      <c r="I238" s="57"/>
      <c r="J238" s="57"/>
    </row>
    <row r="239" spans="1:10" s="135" customFormat="1" ht="12.75" customHeight="1">
      <c r="A239" s="247"/>
      <c r="B239" s="136"/>
      <c r="E239" s="57"/>
      <c r="F239" s="57"/>
      <c r="G239" s="57"/>
      <c r="H239" s="57"/>
      <c r="I239" s="57"/>
      <c r="J239" s="57"/>
    </row>
  </sheetData>
  <sheetProtection selectLockedCells="1" selectUnlockedCells="1"/>
  <mergeCells count="11">
    <mergeCell ref="C158:E158"/>
    <mergeCell ref="A10:B11"/>
    <mergeCell ref="C12:E12"/>
    <mergeCell ref="C78:E78"/>
    <mergeCell ref="F9:I9"/>
    <mergeCell ref="C4:I4"/>
    <mergeCell ref="A2:J3"/>
    <mergeCell ref="A5:J7"/>
    <mergeCell ref="A1:I1"/>
    <mergeCell ref="C93:E93"/>
    <mergeCell ref="C134:E134"/>
  </mergeCells>
  <printOptions horizontalCentered="1"/>
  <pageMargins left="0.31496062992125984" right="0.2362204724409449" top="0.4724409448818898" bottom="0.6299212598425197" header="0.5118110236220472" footer="0.2362204724409449"/>
  <pageSetup firstPageNumber="1" useFirstPageNumber="1" horizontalDpi="600" verticalDpi="600" orientation="portrait" paperSize="9" scale="59" r:id="rId1"/>
  <headerFooter alignWithMargins="0">
    <oddFooter>&amp;C&amp;P. oldal</oddFooter>
  </headerFooter>
  <rowBreaks count="3" manualBreakCount="3">
    <brk id="61" max="9" man="1"/>
    <brk id="110" max="9" man="1"/>
    <brk id="1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Henger Zsuzsanna</dc:creator>
  <cp:keywords/>
  <dc:description/>
  <cp:lastModifiedBy>kolonics.krisztina</cp:lastModifiedBy>
  <cp:lastPrinted>2018-02-22T12:31:32Z</cp:lastPrinted>
  <dcterms:created xsi:type="dcterms:W3CDTF">2017-01-11T11:20:02Z</dcterms:created>
  <dcterms:modified xsi:type="dcterms:W3CDTF">2018-02-22T12:31:39Z</dcterms:modified>
  <cp:category/>
  <cp:version/>
  <cp:contentType/>
  <cp:contentStatus/>
</cp:coreProperties>
</file>