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32760" windowWidth="12660" windowHeight="11640" tabRatio="727" firstSheet="18" activeTab="27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359" r:id="rId17"/>
    <sheet name="9.2. sz. mell (2-1)" sheetId="360" r:id="rId18"/>
    <sheet name="9.2. sz. mell (2-2)" sheetId="361" r:id="rId19"/>
    <sheet name="9.2.1. sz. mell" sheetId="362" r:id="rId20"/>
    <sheet name="9.2.2. sz.  mell" sheetId="363" r:id="rId21"/>
    <sheet name="9.2.3. sz. mell" sheetId="364" r:id="rId22"/>
    <sheet name="9.3. sz. mell" sheetId="365" r:id="rId23"/>
    <sheet name="9.3.1. sz. mell" sheetId="366" r:id="rId24"/>
    <sheet name="9.3.2. sz. mell" sheetId="367" r:id="rId25"/>
    <sheet name="9.3.3. sz. mell" sheetId="368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t.'!$A$1:$K$156</definedName>
    <definedName name="_xlnm.Print_Area" localSheetId="0">'1.1.sz.mell.'!$A$1:$I$163</definedName>
    <definedName name="_xlnm.Print_Area" localSheetId="1">'1.2.sz.mell.'!$A$1:$I$168</definedName>
    <definedName name="_xlnm.Print_Area" localSheetId="2">'1.3.sz.mell.'!$A$1:$I$160</definedName>
    <definedName name="_xlnm.Print_Area" localSheetId="3">'1.4.sz.mell.'!$A$1:$I$163</definedName>
    <definedName name="_xlnm.Print_Area" localSheetId="30">'4.sz tájékoztató t.'!$A$1:$O$254</definedName>
    <definedName name="_xlnm.Print_Area" localSheetId="33">'7. sz tájékoztató t.'!$A$1:$E$37</definedName>
    <definedName name="_xlnm.Print_Area" localSheetId="10">'7.sz.mell.'!$A$1:$R$27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B1" i="365"/>
  <c r="I20" i="61"/>
  <c r="K231" i="24"/>
  <c r="P34" i="63"/>
  <c r="L34"/>
  <c r="C34"/>
  <c r="P40"/>
  <c r="L40"/>
  <c r="C40"/>
  <c r="I116" i="1"/>
  <c r="I121" i="116"/>
  <c r="I63" i="1"/>
  <c r="I44"/>
  <c r="I41"/>
  <c r="I40"/>
  <c r="I37"/>
  <c r="I36"/>
  <c r="I35"/>
  <c r="I34"/>
  <c r="I32"/>
  <c r="I68" i="116"/>
  <c r="I49"/>
  <c r="I46"/>
  <c r="I45"/>
  <c r="I42"/>
  <c r="I41"/>
  <c r="I40"/>
  <c r="I39"/>
  <c r="I37"/>
  <c r="I9" i="61"/>
  <c r="I11" i="73"/>
  <c r="I10"/>
  <c r="Q12"/>
  <c r="I62" i="3"/>
  <c r="I48"/>
  <c r="I43"/>
  <c r="I40"/>
  <c r="I39"/>
  <c r="I36"/>
  <c r="I35"/>
  <c r="I34"/>
  <c r="I33"/>
  <c r="I31"/>
  <c r="I62" i="119"/>
  <c r="I43"/>
  <c r="I40"/>
  <c r="K36" i="87"/>
  <c r="I39" i="119"/>
  <c r="I36"/>
  <c r="I35"/>
  <c r="I34"/>
  <c r="I33"/>
  <c r="I31"/>
  <c r="K112" i="87"/>
  <c r="K59"/>
  <c r="K40"/>
  <c r="K37"/>
  <c r="K33"/>
  <c r="K32"/>
  <c r="K31"/>
  <c r="K30"/>
  <c r="K28"/>
  <c r="N247" i="24"/>
  <c r="N232"/>
  <c r="N231"/>
  <c r="N230"/>
  <c r="I115" i="3"/>
  <c r="I115" i="119"/>
  <c r="I114" i="1"/>
  <c r="I109"/>
  <c r="I119" i="116"/>
  <c r="I114"/>
  <c r="I113" i="3"/>
  <c r="I108"/>
  <c r="I113" i="119"/>
  <c r="I108"/>
  <c r="K110" i="87"/>
  <c r="K105"/>
  <c r="N246" i="24"/>
  <c r="N245"/>
  <c r="I119" i="1"/>
  <c r="I100"/>
  <c r="I99"/>
  <c r="I98"/>
  <c r="I121"/>
  <c r="I131"/>
  <c r="I49"/>
  <c r="I43"/>
  <c r="I26" i="116"/>
  <c r="I54"/>
  <c r="I51"/>
  <c r="I124"/>
  <c r="I105"/>
  <c r="I104"/>
  <c r="I103"/>
  <c r="I136"/>
  <c r="I126"/>
  <c r="I110"/>
  <c r="I106"/>
  <c r="I85"/>
  <c r="I48"/>
  <c r="I33"/>
  <c r="K45" i="87"/>
  <c r="K39"/>
  <c r="I48" i="119"/>
  <c r="I42"/>
  <c r="I37"/>
  <c r="I42" i="3"/>
  <c r="Q28" i="73"/>
  <c r="I29"/>
  <c r="I79" i="3"/>
  <c r="I146"/>
  <c r="I146" i="119"/>
  <c r="I79"/>
  <c r="K143" i="87"/>
  <c r="K76"/>
  <c r="N251" i="24"/>
  <c r="N236"/>
  <c r="Q30" i="73"/>
  <c r="Q29"/>
  <c r="I156" i="3"/>
  <c r="I156" i="119"/>
  <c r="K153" i="87"/>
  <c r="O251" i="24"/>
  <c r="P41" i="63"/>
  <c r="L41"/>
  <c r="C41"/>
  <c r="P49"/>
  <c r="O49"/>
  <c r="P50"/>
  <c r="L49"/>
  <c r="C49"/>
  <c r="C5" i="128"/>
  <c r="D5"/>
  <c r="E5"/>
  <c r="C6"/>
  <c r="D6"/>
  <c r="E6"/>
  <c r="C7"/>
  <c r="C8"/>
  <c r="D8"/>
  <c r="E8"/>
  <c r="C9"/>
  <c r="D9"/>
  <c r="E9"/>
  <c r="C20"/>
  <c r="D20"/>
  <c r="E20"/>
  <c r="C21"/>
  <c r="D21"/>
  <c r="E21"/>
  <c r="C22"/>
  <c r="D22"/>
  <c r="E22"/>
  <c r="C26"/>
  <c r="D26"/>
  <c r="E26"/>
  <c r="C28"/>
  <c r="D28"/>
  <c r="E28"/>
  <c r="C29"/>
  <c r="D29"/>
  <c r="E29"/>
  <c r="C30"/>
  <c r="D30"/>
  <c r="E30"/>
  <c r="C31"/>
  <c r="D31"/>
  <c r="E31"/>
  <c r="C33"/>
  <c r="D33"/>
  <c r="E33"/>
  <c r="C35"/>
  <c r="D35"/>
  <c r="E35"/>
  <c r="J14" i="70"/>
  <c r="D25"/>
  <c r="E25"/>
  <c r="F25"/>
  <c r="G25"/>
  <c r="H25"/>
  <c r="I25"/>
  <c r="J25"/>
  <c r="B7" i="2"/>
  <c r="C7"/>
  <c r="D7"/>
  <c r="E7"/>
  <c r="F7"/>
  <c r="G7"/>
  <c r="H7"/>
  <c r="B9"/>
  <c r="C9"/>
  <c r="D9"/>
  <c r="E9"/>
  <c r="F9"/>
  <c r="G9"/>
  <c r="H9"/>
  <c r="B18"/>
  <c r="C18"/>
  <c r="D18"/>
  <c r="E18"/>
  <c r="F18"/>
  <c r="G18"/>
  <c r="H18"/>
  <c r="D19"/>
  <c r="E19"/>
  <c r="F19"/>
  <c r="G19"/>
  <c r="H19"/>
  <c r="D20"/>
  <c r="E20"/>
  <c r="F20"/>
  <c r="G20"/>
  <c r="H20"/>
  <c r="B21"/>
  <c r="C21"/>
  <c r="D21"/>
  <c r="E21"/>
  <c r="F21"/>
  <c r="G21"/>
  <c r="H21"/>
  <c r="G23"/>
  <c r="H23"/>
  <c r="D24"/>
  <c r="E24"/>
  <c r="F24"/>
  <c r="G24"/>
  <c r="H24"/>
  <c r="H25"/>
  <c r="B26"/>
  <c r="C26"/>
  <c r="D26"/>
  <c r="E26"/>
  <c r="F26"/>
  <c r="G26"/>
  <c r="H26"/>
  <c r="B31"/>
  <c r="C31"/>
  <c r="D31"/>
  <c r="E31"/>
  <c r="F31"/>
  <c r="G31"/>
  <c r="H31"/>
  <c r="C33"/>
  <c r="D33"/>
  <c r="E33"/>
  <c r="F33"/>
  <c r="G33"/>
  <c r="H33"/>
  <c r="B35"/>
  <c r="C35"/>
  <c r="D35"/>
  <c r="E35"/>
  <c r="F35"/>
  <c r="G35"/>
  <c r="H35"/>
  <c r="C39"/>
  <c r="D39"/>
  <c r="E39"/>
  <c r="F39"/>
  <c r="G39"/>
  <c r="H39"/>
  <c r="E40"/>
  <c r="F40"/>
  <c r="G40"/>
  <c r="H40"/>
  <c r="B43"/>
  <c r="C43"/>
  <c r="D43"/>
  <c r="E43"/>
  <c r="F43"/>
  <c r="G43"/>
  <c r="H43"/>
  <c r="B45"/>
  <c r="C45"/>
  <c r="D45"/>
  <c r="E45"/>
  <c r="F45"/>
  <c r="G45"/>
  <c r="H45"/>
  <c r="B47"/>
  <c r="C47"/>
  <c r="D47"/>
  <c r="E47"/>
  <c r="F47"/>
  <c r="G47"/>
  <c r="H47"/>
  <c r="O11" i="24"/>
  <c r="C12"/>
  <c r="D12"/>
  <c r="E12"/>
  <c r="F12"/>
  <c r="G12"/>
  <c r="H12"/>
  <c r="I12"/>
  <c r="J12"/>
  <c r="K12"/>
  <c r="L12"/>
  <c r="M12"/>
  <c r="N12"/>
  <c r="O12"/>
  <c r="O13"/>
  <c r="C14"/>
  <c r="D14"/>
  <c r="E14"/>
  <c r="F14"/>
  <c r="G14"/>
  <c r="H14"/>
  <c r="I14"/>
  <c r="J14"/>
  <c r="K14"/>
  <c r="L14"/>
  <c r="M14"/>
  <c r="N14"/>
  <c r="O14"/>
  <c r="C15"/>
  <c r="D15"/>
  <c r="E15"/>
  <c r="F15"/>
  <c r="G15"/>
  <c r="H15"/>
  <c r="I15"/>
  <c r="J15"/>
  <c r="K15"/>
  <c r="L15"/>
  <c r="M15"/>
  <c r="N15"/>
  <c r="O15"/>
  <c r="O16"/>
  <c r="O17"/>
  <c r="O18"/>
  <c r="O19"/>
  <c r="C20"/>
  <c r="D20"/>
  <c r="E20"/>
  <c r="F20"/>
  <c r="G20"/>
  <c r="H20"/>
  <c r="I20"/>
  <c r="J20"/>
  <c r="K20"/>
  <c r="L20"/>
  <c r="M20"/>
  <c r="N20"/>
  <c r="O20"/>
  <c r="C24"/>
  <c r="D24"/>
  <c r="E24"/>
  <c r="F24"/>
  <c r="G24"/>
  <c r="H24"/>
  <c r="I24"/>
  <c r="J24"/>
  <c r="K24"/>
  <c r="L24"/>
  <c r="M24"/>
  <c r="N24"/>
  <c r="O24"/>
  <c r="C25"/>
  <c r="D25"/>
  <c r="E25"/>
  <c r="F25"/>
  <c r="G25"/>
  <c r="H25"/>
  <c r="I25"/>
  <c r="J25"/>
  <c r="K25"/>
  <c r="L25"/>
  <c r="M25"/>
  <c r="N25"/>
  <c r="O25"/>
  <c r="C26"/>
  <c r="D26"/>
  <c r="E26"/>
  <c r="F26"/>
  <c r="G26"/>
  <c r="H26"/>
  <c r="I26"/>
  <c r="J26"/>
  <c r="K26"/>
  <c r="L26"/>
  <c r="M26"/>
  <c r="N26"/>
  <c r="O26"/>
  <c r="C27"/>
  <c r="D27"/>
  <c r="E27"/>
  <c r="F27"/>
  <c r="G27"/>
  <c r="H27"/>
  <c r="I27"/>
  <c r="J27"/>
  <c r="K27"/>
  <c r="L27"/>
  <c r="M27"/>
  <c r="N27"/>
  <c r="O27"/>
  <c r="O28"/>
  <c r="C29"/>
  <c r="D29"/>
  <c r="E29"/>
  <c r="F29"/>
  <c r="G29"/>
  <c r="H29"/>
  <c r="I29"/>
  <c r="J29"/>
  <c r="K29"/>
  <c r="L29"/>
  <c r="M29"/>
  <c r="N29"/>
  <c r="O29"/>
  <c r="E30"/>
  <c r="J30"/>
  <c r="O30"/>
  <c r="O31"/>
  <c r="C32"/>
  <c r="D32"/>
  <c r="E32"/>
  <c r="F32"/>
  <c r="G32"/>
  <c r="H32"/>
  <c r="I32"/>
  <c r="J32"/>
  <c r="K32"/>
  <c r="L32"/>
  <c r="M32"/>
  <c r="N32"/>
  <c r="O32"/>
  <c r="C33"/>
  <c r="D33"/>
  <c r="E33"/>
  <c r="F33"/>
  <c r="G33"/>
  <c r="H33"/>
  <c r="I33"/>
  <c r="J33"/>
  <c r="K33"/>
  <c r="L33"/>
  <c r="M33"/>
  <c r="N33"/>
  <c r="O33"/>
  <c r="O34"/>
  <c r="C35"/>
  <c r="D35"/>
  <c r="E35"/>
  <c r="F35"/>
  <c r="G35"/>
  <c r="H35"/>
  <c r="I35"/>
  <c r="J35"/>
  <c r="K35"/>
  <c r="L35"/>
  <c r="M35"/>
  <c r="N35"/>
  <c r="O35"/>
  <c r="C36"/>
  <c r="D36"/>
  <c r="E36"/>
  <c r="F36"/>
  <c r="G36"/>
  <c r="H36"/>
  <c r="I36"/>
  <c r="J36"/>
  <c r="K36"/>
  <c r="L36"/>
  <c r="M36"/>
  <c r="N36"/>
  <c r="O36"/>
  <c r="C38"/>
  <c r="D38"/>
  <c r="E38"/>
  <c r="F38"/>
  <c r="G38"/>
  <c r="H38"/>
  <c r="I38"/>
  <c r="J38"/>
  <c r="K38"/>
  <c r="L38"/>
  <c r="M38"/>
  <c r="N38"/>
  <c r="O38"/>
  <c r="E47"/>
  <c r="O47"/>
  <c r="C48"/>
  <c r="D48"/>
  <c r="E48"/>
  <c r="F48"/>
  <c r="G48"/>
  <c r="H48"/>
  <c r="I48"/>
  <c r="J48"/>
  <c r="K48"/>
  <c r="L48"/>
  <c r="M48"/>
  <c r="N48"/>
  <c r="O48"/>
  <c r="O49"/>
  <c r="C50"/>
  <c r="D50"/>
  <c r="E50"/>
  <c r="F50"/>
  <c r="G50"/>
  <c r="H50"/>
  <c r="I50"/>
  <c r="J50"/>
  <c r="K50"/>
  <c r="L50"/>
  <c r="M50"/>
  <c r="N50"/>
  <c r="O50"/>
  <c r="C51"/>
  <c r="D51"/>
  <c r="E51"/>
  <c r="F51"/>
  <c r="G51"/>
  <c r="H51"/>
  <c r="I51"/>
  <c r="J51"/>
  <c r="K51"/>
  <c r="L51"/>
  <c r="M51"/>
  <c r="N51"/>
  <c r="O51"/>
  <c r="O52"/>
  <c r="O53"/>
  <c r="O54"/>
  <c r="O55"/>
  <c r="C56"/>
  <c r="D56"/>
  <c r="E56"/>
  <c r="F56"/>
  <c r="G56"/>
  <c r="H56"/>
  <c r="I56"/>
  <c r="J56"/>
  <c r="K56"/>
  <c r="L56"/>
  <c r="M56"/>
  <c r="N56"/>
  <c r="O56"/>
  <c r="C60"/>
  <c r="D60"/>
  <c r="E60"/>
  <c r="F60"/>
  <c r="G60"/>
  <c r="H60"/>
  <c r="I60"/>
  <c r="J60"/>
  <c r="K60"/>
  <c r="L60"/>
  <c r="M60"/>
  <c r="N60"/>
  <c r="O60"/>
  <c r="C61"/>
  <c r="D61"/>
  <c r="E61"/>
  <c r="F61"/>
  <c r="G61"/>
  <c r="H61"/>
  <c r="I61"/>
  <c r="J61"/>
  <c r="K61"/>
  <c r="L61"/>
  <c r="M61"/>
  <c r="N61"/>
  <c r="O61"/>
  <c r="C62"/>
  <c r="D62"/>
  <c r="E62"/>
  <c r="F62"/>
  <c r="G62"/>
  <c r="H62"/>
  <c r="I62"/>
  <c r="J62"/>
  <c r="K62"/>
  <c r="L62"/>
  <c r="M62"/>
  <c r="N62"/>
  <c r="O62"/>
  <c r="C63"/>
  <c r="D63"/>
  <c r="E63"/>
  <c r="F63"/>
  <c r="G63"/>
  <c r="H63"/>
  <c r="I63"/>
  <c r="J63"/>
  <c r="K63"/>
  <c r="L63"/>
  <c r="M63"/>
  <c r="N63"/>
  <c r="O63"/>
  <c r="O64"/>
  <c r="C65"/>
  <c r="D65"/>
  <c r="E65"/>
  <c r="F65"/>
  <c r="G65"/>
  <c r="H65"/>
  <c r="I65"/>
  <c r="J65"/>
  <c r="K65"/>
  <c r="L65"/>
  <c r="M65"/>
  <c r="N65"/>
  <c r="O65"/>
  <c r="E66"/>
  <c r="J66"/>
  <c r="O66"/>
  <c r="E67"/>
  <c r="O67"/>
  <c r="C68"/>
  <c r="D68"/>
  <c r="E68"/>
  <c r="F68"/>
  <c r="G68"/>
  <c r="H68"/>
  <c r="I68"/>
  <c r="J68"/>
  <c r="K68"/>
  <c r="L68"/>
  <c r="M68"/>
  <c r="N68"/>
  <c r="O68"/>
  <c r="C69"/>
  <c r="D69"/>
  <c r="E69"/>
  <c r="F69"/>
  <c r="G69"/>
  <c r="H69"/>
  <c r="I69"/>
  <c r="J69"/>
  <c r="K69"/>
  <c r="L69"/>
  <c r="M69"/>
  <c r="N69"/>
  <c r="O69"/>
  <c r="O70"/>
  <c r="C71"/>
  <c r="D71"/>
  <c r="E71"/>
  <c r="F71"/>
  <c r="G71"/>
  <c r="H71"/>
  <c r="I71"/>
  <c r="J71"/>
  <c r="K71"/>
  <c r="L71"/>
  <c r="M71"/>
  <c r="N71"/>
  <c r="O71"/>
  <c r="C72"/>
  <c r="D72"/>
  <c r="E72"/>
  <c r="F72"/>
  <c r="G72"/>
  <c r="H72"/>
  <c r="I72"/>
  <c r="J72"/>
  <c r="K72"/>
  <c r="L72"/>
  <c r="M72"/>
  <c r="N72"/>
  <c r="O72"/>
  <c r="C74"/>
  <c r="D74"/>
  <c r="E74"/>
  <c r="F74"/>
  <c r="G74"/>
  <c r="H74"/>
  <c r="I74"/>
  <c r="J74"/>
  <c r="K74"/>
  <c r="L74"/>
  <c r="M74"/>
  <c r="N74"/>
  <c r="O74"/>
  <c r="E83"/>
  <c r="H83"/>
  <c r="O83"/>
  <c r="C84"/>
  <c r="D84"/>
  <c r="E84"/>
  <c r="F84"/>
  <c r="G84"/>
  <c r="H84"/>
  <c r="I84"/>
  <c r="J84"/>
  <c r="K84"/>
  <c r="L84"/>
  <c r="M84"/>
  <c r="N84"/>
  <c r="O84"/>
  <c r="H85"/>
  <c r="O85"/>
  <c r="C86"/>
  <c r="D86"/>
  <c r="E86"/>
  <c r="F86"/>
  <c r="G86"/>
  <c r="H86"/>
  <c r="I86"/>
  <c r="J86"/>
  <c r="K86"/>
  <c r="L86"/>
  <c r="M86"/>
  <c r="N86"/>
  <c r="O86"/>
  <c r="C87"/>
  <c r="D87"/>
  <c r="E87"/>
  <c r="F87"/>
  <c r="G87"/>
  <c r="H87"/>
  <c r="I87"/>
  <c r="J87"/>
  <c r="K87"/>
  <c r="L87"/>
  <c r="M87"/>
  <c r="N87"/>
  <c r="O87"/>
  <c r="O88"/>
  <c r="O89"/>
  <c r="O90"/>
  <c r="H91"/>
  <c r="O91"/>
  <c r="C92"/>
  <c r="D92"/>
  <c r="E92"/>
  <c r="F92"/>
  <c r="G92"/>
  <c r="H92"/>
  <c r="I92"/>
  <c r="J92"/>
  <c r="K92"/>
  <c r="L92"/>
  <c r="M92"/>
  <c r="N92"/>
  <c r="O92"/>
  <c r="C96"/>
  <c r="D96"/>
  <c r="E96"/>
  <c r="F96"/>
  <c r="G96"/>
  <c r="H96"/>
  <c r="I96"/>
  <c r="J96"/>
  <c r="K96"/>
  <c r="L96"/>
  <c r="M96"/>
  <c r="N96"/>
  <c r="O96"/>
  <c r="C97"/>
  <c r="D97"/>
  <c r="E97"/>
  <c r="F97"/>
  <c r="G97"/>
  <c r="H97"/>
  <c r="I97"/>
  <c r="J97"/>
  <c r="K97"/>
  <c r="L97"/>
  <c r="M97"/>
  <c r="N97"/>
  <c r="O97"/>
  <c r="C98"/>
  <c r="D98"/>
  <c r="E98"/>
  <c r="F98"/>
  <c r="G98"/>
  <c r="H98"/>
  <c r="I98"/>
  <c r="J98"/>
  <c r="K98"/>
  <c r="L98"/>
  <c r="M98"/>
  <c r="N98"/>
  <c r="O98"/>
  <c r="C99"/>
  <c r="D99"/>
  <c r="E99"/>
  <c r="F99"/>
  <c r="G99"/>
  <c r="H99"/>
  <c r="I99"/>
  <c r="J99"/>
  <c r="K99"/>
  <c r="L99"/>
  <c r="M99"/>
  <c r="N99"/>
  <c r="O99"/>
  <c r="O100"/>
  <c r="C101"/>
  <c r="D101"/>
  <c r="E101"/>
  <c r="F101"/>
  <c r="G101"/>
  <c r="H101"/>
  <c r="I101"/>
  <c r="J101"/>
  <c r="K101"/>
  <c r="L101"/>
  <c r="M101"/>
  <c r="N101"/>
  <c r="O101"/>
  <c r="E102"/>
  <c r="H102"/>
  <c r="J102"/>
  <c r="O102"/>
  <c r="E103"/>
  <c r="H103"/>
  <c r="O103"/>
  <c r="C104"/>
  <c r="D104"/>
  <c r="E104"/>
  <c r="F104"/>
  <c r="G104"/>
  <c r="H104"/>
  <c r="I104"/>
  <c r="J104"/>
  <c r="K104"/>
  <c r="L104"/>
  <c r="M104"/>
  <c r="N104"/>
  <c r="O104"/>
  <c r="C105"/>
  <c r="D105"/>
  <c r="E105"/>
  <c r="F105"/>
  <c r="G105"/>
  <c r="H105"/>
  <c r="I105"/>
  <c r="J105"/>
  <c r="K105"/>
  <c r="L105"/>
  <c r="M105"/>
  <c r="N105"/>
  <c r="O105"/>
  <c r="O106"/>
  <c r="C107"/>
  <c r="D107"/>
  <c r="E107"/>
  <c r="F107"/>
  <c r="G107"/>
  <c r="H107"/>
  <c r="I107"/>
  <c r="J107"/>
  <c r="K107"/>
  <c r="L107"/>
  <c r="M107"/>
  <c r="N107"/>
  <c r="O107"/>
  <c r="C108"/>
  <c r="D108"/>
  <c r="E108"/>
  <c r="F108"/>
  <c r="G108"/>
  <c r="H108"/>
  <c r="I108"/>
  <c r="J108"/>
  <c r="K108"/>
  <c r="L108"/>
  <c r="M108"/>
  <c r="N108"/>
  <c r="O108"/>
  <c r="C110"/>
  <c r="D110"/>
  <c r="E110"/>
  <c r="F110"/>
  <c r="G110"/>
  <c r="H110"/>
  <c r="I110"/>
  <c r="J110"/>
  <c r="K110"/>
  <c r="L110"/>
  <c r="M110"/>
  <c r="N110"/>
  <c r="O110"/>
  <c r="E119"/>
  <c r="H119"/>
  <c r="J119"/>
  <c r="O119"/>
  <c r="C120"/>
  <c r="D120"/>
  <c r="E120"/>
  <c r="F120"/>
  <c r="G120"/>
  <c r="H120"/>
  <c r="I120"/>
  <c r="J120"/>
  <c r="K120"/>
  <c r="L120"/>
  <c r="M120"/>
  <c r="N120"/>
  <c r="O120"/>
  <c r="H121"/>
  <c r="O121"/>
  <c r="C122"/>
  <c r="D122"/>
  <c r="E122"/>
  <c r="F122"/>
  <c r="G122"/>
  <c r="H122"/>
  <c r="I122"/>
  <c r="J122"/>
  <c r="K122"/>
  <c r="L122"/>
  <c r="M122"/>
  <c r="N122"/>
  <c r="O122"/>
  <c r="C123"/>
  <c r="D123"/>
  <c r="E123"/>
  <c r="F123"/>
  <c r="G123"/>
  <c r="H123"/>
  <c r="I123"/>
  <c r="J123"/>
  <c r="K123"/>
  <c r="L123"/>
  <c r="M123"/>
  <c r="N123"/>
  <c r="O123"/>
  <c r="O124"/>
  <c r="O125"/>
  <c r="O126"/>
  <c r="H127"/>
  <c r="O127"/>
  <c r="C128"/>
  <c r="D128"/>
  <c r="E128"/>
  <c r="F128"/>
  <c r="G128"/>
  <c r="H128"/>
  <c r="I128"/>
  <c r="J128"/>
  <c r="K128"/>
  <c r="L128"/>
  <c r="M128"/>
  <c r="N128"/>
  <c r="O128"/>
  <c r="C132"/>
  <c r="D132"/>
  <c r="E132"/>
  <c r="F132"/>
  <c r="G132"/>
  <c r="H132"/>
  <c r="I132"/>
  <c r="J132"/>
  <c r="K132"/>
  <c r="L132"/>
  <c r="M132"/>
  <c r="N132"/>
  <c r="O132"/>
  <c r="C133"/>
  <c r="D133"/>
  <c r="E133"/>
  <c r="F133"/>
  <c r="G133"/>
  <c r="H133"/>
  <c r="I133"/>
  <c r="J133"/>
  <c r="K133"/>
  <c r="L133"/>
  <c r="M133"/>
  <c r="N133"/>
  <c r="O133"/>
  <c r="C134"/>
  <c r="D134"/>
  <c r="E134"/>
  <c r="F134"/>
  <c r="G134"/>
  <c r="H134"/>
  <c r="I134"/>
  <c r="J134"/>
  <c r="K134"/>
  <c r="L134"/>
  <c r="M134"/>
  <c r="N134"/>
  <c r="O134"/>
  <c r="C135"/>
  <c r="D135"/>
  <c r="E135"/>
  <c r="F135"/>
  <c r="G135"/>
  <c r="H135"/>
  <c r="I135"/>
  <c r="J135"/>
  <c r="K135"/>
  <c r="L135"/>
  <c r="M135"/>
  <c r="N135"/>
  <c r="O135"/>
  <c r="O136"/>
  <c r="C137"/>
  <c r="D137"/>
  <c r="E137"/>
  <c r="F137"/>
  <c r="G137"/>
  <c r="H137"/>
  <c r="I137"/>
  <c r="J137"/>
  <c r="K137"/>
  <c r="L137"/>
  <c r="M137"/>
  <c r="N137"/>
  <c r="O137"/>
  <c r="E138"/>
  <c r="H138"/>
  <c r="J138"/>
  <c r="O138"/>
  <c r="E139"/>
  <c r="H139"/>
  <c r="O139"/>
  <c r="C140"/>
  <c r="D140"/>
  <c r="E140"/>
  <c r="F140"/>
  <c r="G140"/>
  <c r="H140"/>
  <c r="I140"/>
  <c r="J140"/>
  <c r="K140"/>
  <c r="L140"/>
  <c r="M140"/>
  <c r="N140"/>
  <c r="O140"/>
  <c r="C141"/>
  <c r="D141"/>
  <c r="E141"/>
  <c r="F141"/>
  <c r="G141"/>
  <c r="H141"/>
  <c r="I141"/>
  <c r="J141"/>
  <c r="K141"/>
  <c r="L141"/>
  <c r="M141"/>
  <c r="N141"/>
  <c r="O141"/>
  <c r="O142"/>
  <c r="C143"/>
  <c r="D143"/>
  <c r="E143"/>
  <c r="F143"/>
  <c r="G143"/>
  <c r="H143"/>
  <c r="I143"/>
  <c r="J143"/>
  <c r="K143"/>
  <c r="L143"/>
  <c r="M143"/>
  <c r="N143"/>
  <c r="O143"/>
  <c r="C144"/>
  <c r="D144"/>
  <c r="E144"/>
  <c r="F144"/>
  <c r="G144"/>
  <c r="H144"/>
  <c r="I144"/>
  <c r="J144"/>
  <c r="K144"/>
  <c r="L144"/>
  <c r="M144"/>
  <c r="N144"/>
  <c r="O144"/>
  <c r="C146"/>
  <c r="D146"/>
  <c r="E146"/>
  <c r="F146"/>
  <c r="G146"/>
  <c r="H146"/>
  <c r="I146"/>
  <c r="J146"/>
  <c r="K146"/>
  <c r="L146"/>
  <c r="M146"/>
  <c r="N146"/>
  <c r="O146"/>
  <c r="E155"/>
  <c r="H155"/>
  <c r="J155"/>
  <c r="K155"/>
  <c r="O155"/>
  <c r="C156"/>
  <c r="D156"/>
  <c r="E156"/>
  <c r="F156"/>
  <c r="G156"/>
  <c r="H156"/>
  <c r="I156"/>
  <c r="J156"/>
  <c r="K156"/>
  <c r="L156"/>
  <c r="M156"/>
  <c r="N156"/>
  <c r="O156"/>
  <c r="H157"/>
  <c r="O157"/>
  <c r="C158"/>
  <c r="D158"/>
  <c r="E158"/>
  <c r="F158"/>
  <c r="G158"/>
  <c r="H158"/>
  <c r="I158"/>
  <c r="J158"/>
  <c r="K158"/>
  <c r="L158"/>
  <c r="M158"/>
  <c r="N158"/>
  <c r="O158"/>
  <c r="C159"/>
  <c r="D159"/>
  <c r="E159"/>
  <c r="F159"/>
  <c r="G159"/>
  <c r="H159"/>
  <c r="I159"/>
  <c r="J159"/>
  <c r="K159"/>
  <c r="L159"/>
  <c r="M159"/>
  <c r="N159"/>
  <c r="O159"/>
  <c r="O160"/>
  <c r="O161"/>
  <c r="O162"/>
  <c r="H163"/>
  <c r="O163"/>
  <c r="C164"/>
  <c r="D164"/>
  <c r="E164"/>
  <c r="F164"/>
  <c r="G164"/>
  <c r="H164"/>
  <c r="I164"/>
  <c r="J164"/>
  <c r="K164"/>
  <c r="L164"/>
  <c r="M164"/>
  <c r="N164"/>
  <c r="O164"/>
  <c r="C168"/>
  <c r="D168"/>
  <c r="E168"/>
  <c r="F168"/>
  <c r="G168"/>
  <c r="H168"/>
  <c r="I168"/>
  <c r="J168"/>
  <c r="K168"/>
  <c r="L168"/>
  <c r="M168"/>
  <c r="N168"/>
  <c r="O168"/>
  <c r="C169"/>
  <c r="D169"/>
  <c r="E169"/>
  <c r="F169"/>
  <c r="G169"/>
  <c r="H169"/>
  <c r="I169"/>
  <c r="J169"/>
  <c r="K169"/>
  <c r="L169"/>
  <c r="M169"/>
  <c r="N169"/>
  <c r="O169"/>
  <c r="C170"/>
  <c r="D170"/>
  <c r="E170"/>
  <c r="F170"/>
  <c r="G170"/>
  <c r="H170"/>
  <c r="I170"/>
  <c r="J170"/>
  <c r="K170"/>
  <c r="L170"/>
  <c r="M170"/>
  <c r="N170"/>
  <c r="O170"/>
  <c r="C171"/>
  <c r="D171"/>
  <c r="E171"/>
  <c r="F171"/>
  <c r="G171"/>
  <c r="H171"/>
  <c r="I171"/>
  <c r="J171"/>
  <c r="K171"/>
  <c r="L171"/>
  <c r="M171"/>
  <c r="N171"/>
  <c r="O171"/>
  <c r="O172"/>
  <c r="C173"/>
  <c r="D173"/>
  <c r="E173"/>
  <c r="F173"/>
  <c r="G173"/>
  <c r="H173"/>
  <c r="I173"/>
  <c r="J173"/>
  <c r="K173"/>
  <c r="L173"/>
  <c r="M173"/>
  <c r="N173"/>
  <c r="O173"/>
  <c r="E174"/>
  <c r="H174"/>
  <c r="J174"/>
  <c r="O174"/>
  <c r="E175"/>
  <c r="H175"/>
  <c r="K175"/>
  <c r="O175"/>
  <c r="C176"/>
  <c r="D176"/>
  <c r="E176"/>
  <c r="F176"/>
  <c r="G176"/>
  <c r="H176"/>
  <c r="I176"/>
  <c r="J176"/>
  <c r="K176"/>
  <c r="L176"/>
  <c r="M176"/>
  <c r="N176"/>
  <c r="O176"/>
  <c r="C177"/>
  <c r="D177"/>
  <c r="E177"/>
  <c r="F177"/>
  <c r="G177"/>
  <c r="H177"/>
  <c r="I177"/>
  <c r="J177"/>
  <c r="K177"/>
  <c r="L177"/>
  <c r="M177"/>
  <c r="N177"/>
  <c r="O177"/>
  <c r="O178"/>
  <c r="C179"/>
  <c r="D179"/>
  <c r="E179"/>
  <c r="F179"/>
  <c r="G179"/>
  <c r="H179"/>
  <c r="I179"/>
  <c r="J179"/>
  <c r="K179"/>
  <c r="L179"/>
  <c r="M179"/>
  <c r="N179"/>
  <c r="O179"/>
  <c r="C180"/>
  <c r="D180"/>
  <c r="E180"/>
  <c r="F180"/>
  <c r="G180"/>
  <c r="H180"/>
  <c r="I180"/>
  <c r="J180"/>
  <c r="K180"/>
  <c r="L180"/>
  <c r="M180"/>
  <c r="N180"/>
  <c r="O180"/>
  <c r="C182"/>
  <c r="D182"/>
  <c r="E182"/>
  <c r="F182"/>
  <c r="G182"/>
  <c r="H182"/>
  <c r="I182"/>
  <c r="J182"/>
  <c r="K182"/>
  <c r="L182"/>
  <c r="M182"/>
  <c r="N182"/>
  <c r="O182"/>
  <c r="E191"/>
  <c r="H191"/>
  <c r="J191"/>
  <c r="K191"/>
  <c r="M191"/>
  <c r="N191"/>
  <c r="O191"/>
  <c r="C192"/>
  <c r="D192"/>
  <c r="E192"/>
  <c r="F192"/>
  <c r="G192"/>
  <c r="H192"/>
  <c r="I192"/>
  <c r="J192"/>
  <c r="K192"/>
  <c r="L192"/>
  <c r="M192"/>
  <c r="N192"/>
  <c r="O192"/>
  <c r="H193"/>
  <c r="O193"/>
  <c r="C194"/>
  <c r="D194"/>
  <c r="E194"/>
  <c r="F194"/>
  <c r="G194"/>
  <c r="H194"/>
  <c r="I194"/>
  <c r="J194"/>
  <c r="K194"/>
  <c r="L194"/>
  <c r="M194"/>
  <c r="N194"/>
  <c r="O194"/>
  <c r="C195"/>
  <c r="D195"/>
  <c r="E195"/>
  <c r="F195"/>
  <c r="G195"/>
  <c r="H195"/>
  <c r="I195"/>
  <c r="J195"/>
  <c r="K195"/>
  <c r="L195"/>
  <c r="M195"/>
  <c r="N195"/>
  <c r="O195"/>
  <c r="O196"/>
  <c r="O197"/>
  <c r="O198"/>
  <c r="H199"/>
  <c r="O199"/>
  <c r="C200"/>
  <c r="D200"/>
  <c r="E200"/>
  <c r="F200"/>
  <c r="G200"/>
  <c r="H200"/>
  <c r="I200"/>
  <c r="J200"/>
  <c r="K200"/>
  <c r="L200"/>
  <c r="M200"/>
  <c r="N200"/>
  <c r="O200"/>
  <c r="C204"/>
  <c r="D204"/>
  <c r="E204"/>
  <c r="F204"/>
  <c r="G204"/>
  <c r="H204"/>
  <c r="I204"/>
  <c r="J204"/>
  <c r="K204"/>
  <c r="L204"/>
  <c r="M204"/>
  <c r="N204"/>
  <c r="O204"/>
  <c r="C205"/>
  <c r="D205"/>
  <c r="E205"/>
  <c r="F205"/>
  <c r="G205"/>
  <c r="H205"/>
  <c r="I205"/>
  <c r="J205"/>
  <c r="K205"/>
  <c r="L205"/>
  <c r="M205"/>
  <c r="N205"/>
  <c r="O205"/>
  <c r="C206"/>
  <c r="D206"/>
  <c r="E206"/>
  <c r="F206"/>
  <c r="G206"/>
  <c r="H206"/>
  <c r="I206"/>
  <c r="J206"/>
  <c r="K206"/>
  <c r="L206"/>
  <c r="M206"/>
  <c r="N206"/>
  <c r="O206"/>
  <c r="C207"/>
  <c r="D207"/>
  <c r="E207"/>
  <c r="F207"/>
  <c r="G207"/>
  <c r="H207"/>
  <c r="I207"/>
  <c r="J207"/>
  <c r="K207"/>
  <c r="L207"/>
  <c r="M207"/>
  <c r="N207"/>
  <c r="O207"/>
  <c r="O208"/>
  <c r="C209"/>
  <c r="D209"/>
  <c r="E209"/>
  <c r="F209"/>
  <c r="G209"/>
  <c r="H209"/>
  <c r="I209"/>
  <c r="J209"/>
  <c r="K209"/>
  <c r="L209"/>
  <c r="M209"/>
  <c r="N209"/>
  <c r="O209"/>
  <c r="E210"/>
  <c r="H210"/>
  <c r="J210"/>
  <c r="N210"/>
  <c r="O210"/>
  <c r="E211"/>
  <c r="H211"/>
  <c r="K211"/>
  <c r="M211"/>
  <c r="N211"/>
  <c r="O211"/>
  <c r="C212"/>
  <c r="D212"/>
  <c r="E212"/>
  <c r="F212"/>
  <c r="G212"/>
  <c r="H212"/>
  <c r="I212"/>
  <c r="J212"/>
  <c r="K212"/>
  <c r="L212"/>
  <c r="M212"/>
  <c r="N212"/>
  <c r="O212"/>
  <c r="C213"/>
  <c r="D213"/>
  <c r="E213"/>
  <c r="F213"/>
  <c r="G213"/>
  <c r="H213"/>
  <c r="I213"/>
  <c r="J213"/>
  <c r="K213"/>
  <c r="L213"/>
  <c r="M213"/>
  <c r="N213"/>
  <c r="O213"/>
  <c r="O214"/>
  <c r="C215"/>
  <c r="D215"/>
  <c r="E215"/>
  <c r="F215"/>
  <c r="G215"/>
  <c r="H215"/>
  <c r="I215"/>
  <c r="J215"/>
  <c r="K215"/>
  <c r="L215"/>
  <c r="M215"/>
  <c r="N215"/>
  <c r="O215"/>
  <c r="C216"/>
  <c r="D216"/>
  <c r="E216"/>
  <c r="F216"/>
  <c r="G216"/>
  <c r="H216"/>
  <c r="I216"/>
  <c r="J216"/>
  <c r="K216"/>
  <c r="L216"/>
  <c r="M216"/>
  <c r="N216"/>
  <c r="O216"/>
  <c r="C218"/>
  <c r="D218"/>
  <c r="E218"/>
  <c r="F218"/>
  <c r="G218"/>
  <c r="H218"/>
  <c r="I218"/>
  <c r="J218"/>
  <c r="K218"/>
  <c r="L218"/>
  <c r="M218"/>
  <c r="N218"/>
  <c r="O218"/>
  <c r="E227"/>
  <c r="H227"/>
  <c r="J227"/>
  <c r="K227"/>
  <c r="M227"/>
  <c r="N227"/>
  <c r="O227"/>
  <c r="C228"/>
  <c r="D228"/>
  <c r="E228"/>
  <c r="F228"/>
  <c r="G228"/>
  <c r="H228"/>
  <c r="I228"/>
  <c r="J228"/>
  <c r="K228"/>
  <c r="L228"/>
  <c r="M228"/>
  <c r="N228"/>
  <c r="O228"/>
  <c r="H229"/>
  <c r="O229"/>
  <c r="C230"/>
  <c r="D230"/>
  <c r="E230"/>
  <c r="F230"/>
  <c r="G230"/>
  <c r="H230"/>
  <c r="I230"/>
  <c r="J230"/>
  <c r="K230"/>
  <c r="L230"/>
  <c r="M230"/>
  <c r="O230"/>
  <c r="C231"/>
  <c r="D231"/>
  <c r="E231"/>
  <c r="F231"/>
  <c r="G231"/>
  <c r="H231"/>
  <c r="I231"/>
  <c r="J231"/>
  <c r="L231"/>
  <c r="M231"/>
  <c r="O231"/>
  <c r="O232"/>
  <c r="O233"/>
  <c r="O234"/>
  <c r="H235"/>
  <c r="O235"/>
  <c r="C236"/>
  <c r="D236"/>
  <c r="E236"/>
  <c r="F236"/>
  <c r="G236"/>
  <c r="H236"/>
  <c r="I236"/>
  <c r="J236"/>
  <c r="K236"/>
  <c r="O236"/>
  <c r="O254"/>
  <c r="L236"/>
  <c r="M236"/>
  <c r="C240"/>
  <c r="D240"/>
  <c r="E240"/>
  <c r="F240"/>
  <c r="G240"/>
  <c r="H240"/>
  <c r="I240"/>
  <c r="J240"/>
  <c r="K240"/>
  <c r="L240"/>
  <c r="M240"/>
  <c r="N240"/>
  <c r="O240"/>
  <c r="C241"/>
  <c r="D241"/>
  <c r="E241"/>
  <c r="F241"/>
  <c r="G241"/>
  <c r="H241"/>
  <c r="I241"/>
  <c r="J241"/>
  <c r="K241"/>
  <c r="L241"/>
  <c r="M241"/>
  <c r="N241"/>
  <c r="O241"/>
  <c r="C242"/>
  <c r="D242"/>
  <c r="E242"/>
  <c r="F242"/>
  <c r="G242"/>
  <c r="H242"/>
  <c r="I242"/>
  <c r="J242"/>
  <c r="K242"/>
  <c r="L242"/>
  <c r="M242"/>
  <c r="N242"/>
  <c r="O242"/>
  <c r="C243"/>
  <c r="D243"/>
  <c r="E243"/>
  <c r="F243"/>
  <c r="G243"/>
  <c r="H243"/>
  <c r="I243"/>
  <c r="J243"/>
  <c r="K243"/>
  <c r="L243"/>
  <c r="M243"/>
  <c r="N243"/>
  <c r="O243"/>
  <c r="O244"/>
  <c r="C245"/>
  <c r="D245"/>
  <c r="E245"/>
  <c r="F245"/>
  <c r="G245"/>
  <c r="H245"/>
  <c r="I245"/>
  <c r="J245"/>
  <c r="K245"/>
  <c r="L245"/>
  <c r="M245"/>
  <c r="O245"/>
  <c r="E246"/>
  <c r="H246"/>
  <c r="J246"/>
  <c r="O246"/>
  <c r="E247"/>
  <c r="H247"/>
  <c r="K247"/>
  <c r="M247"/>
  <c r="O247"/>
  <c r="C248"/>
  <c r="D248"/>
  <c r="E248"/>
  <c r="F248"/>
  <c r="G248"/>
  <c r="H248"/>
  <c r="I248"/>
  <c r="J248"/>
  <c r="K248"/>
  <c r="L248"/>
  <c r="M248"/>
  <c r="N248"/>
  <c r="O248"/>
  <c r="C249"/>
  <c r="D249"/>
  <c r="E249"/>
  <c r="F249"/>
  <c r="G249"/>
  <c r="H249"/>
  <c r="I249"/>
  <c r="J249"/>
  <c r="K249"/>
  <c r="L249"/>
  <c r="M249"/>
  <c r="N249"/>
  <c r="O249"/>
  <c r="O250"/>
  <c r="C251"/>
  <c r="D251"/>
  <c r="E251"/>
  <c r="F251"/>
  <c r="G251"/>
  <c r="H251"/>
  <c r="I251"/>
  <c r="J251"/>
  <c r="K251"/>
  <c r="L251"/>
  <c r="M251"/>
  <c r="C252"/>
  <c r="D252"/>
  <c r="E252"/>
  <c r="F252"/>
  <c r="G252"/>
  <c r="H252"/>
  <c r="I252"/>
  <c r="J252"/>
  <c r="K252"/>
  <c r="L252"/>
  <c r="M252"/>
  <c r="C254"/>
  <c r="D254"/>
  <c r="E254"/>
  <c r="F254"/>
  <c r="G254"/>
  <c r="H254"/>
  <c r="I254"/>
  <c r="J254"/>
  <c r="K254"/>
  <c r="L254"/>
  <c r="M254"/>
  <c r="C30" i="88"/>
  <c r="D30"/>
  <c r="D6" i="66"/>
  <c r="E6"/>
  <c r="F6"/>
  <c r="G6"/>
  <c r="H6"/>
  <c r="I6"/>
  <c r="I7"/>
  <c r="I8"/>
  <c r="D9"/>
  <c r="E9"/>
  <c r="F9"/>
  <c r="G9"/>
  <c r="H9"/>
  <c r="I9"/>
  <c r="I10"/>
  <c r="I11"/>
  <c r="D12"/>
  <c r="E12"/>
  <c r="F12"/>
  <c r="G12"/>
  <c r="H12"/>
  <c r="I12"/>
  <c r="I13"/>
  <c r="D14"/>
  <c r="E14"/>
  <c r="F14"/>
  <c r="G14"/>
  <c r="H14"/>
  <c r="I14"/>
  <c r="I15"/>
  <c r="D16"/>
  <c r="E16"/>
  <c r="F16"/>
  <c r="G16"/>
  <c r="H16"/>
  <c r="I16"/>
  <c r="I17"/>
  <c r="D18"/>
  <c r="E18"/>
  <c r="F18"/>
  <c r="G18"/>
  <c r="H18"/>
  <c r="I18"/>
  <c r="C5" i="87"/>
  <c r="D5"/>
  <c r="E5"/>
  <c r="F5"/>
  <c r="G5"/>
  <c r="H5"/>
  <c r="I5"/>
  <c r="J5"/>
  <c r="K5"/>
  <c r="K6"/>
  <c r="G7"/>
  <c r="H7"/>
  <c r="I7"/>
  <c r="J7"/>
  <c r="K7"/>
  <c r="G8"/>
  <c r="H8"/>
  <c r="I8"/>
  <c r="J8"/>
  <c r="K8"/>
  <c r="F9"/>
  <c r="G9"/>
  <c r="H9"/>
  <c r="I9"/>
  <c r="J9"/>
  <c r="K9"/>
  <c r="F10"/>
  <c r="G10"/>
  <c r="H10"/>
  <c r="I10"/>
  <c r="J10"/>
  <c r="K10"/>
  <c r="C12"/>
  <c r="D12"/>
  <c r="E12"/>
  <c r="F12"/>
  <c r="G12"/>
  <c r="H12"/>
  <c r="I12"/>
  <c r="J12"/>
  <c r="K12"/>
  <c r="F17"/>
  <c r="G17"/>
  <c r="H17"/>
  <c r="I17"/>
  <c r="J17"/>
  <c r="K17"/>
  <c r="C19"/>
  <c r="D19"/>
  <c r="E19"/>
  <c r="F19"/>
  <c r="G19"/>
  <c r="H19"/>
  <c r="I19"/>
  <c r="J19"/>
  <c r="K19"/>
  <c r="J20"/>
  <c r="K20"/>
  <c r="G24"/>
  <c r="H24"/>
  <c r="I24"/>
  <c r="J24"/>
  <c r="K24"/>
  <c r="C26"/>
  <c r="D26"/>
  <c r="E26"/>
  <c r="F26"/>
  <c r="G26"/>
  <c r="H26"/>
  <c r="I26"/>
  <c r="J26"/>
  <c r="C27"/>
  <c r="D27"/>
  <c r="E27"/>
  <c r="F27"/>
  <c r="G27"/>
  <c r="H27"/>
  <c r="I27"/>
  <c r="J27"/>
  <c r="K27"/>
  <c r="K26"/>
  <c r="J28"/>
  <c r="J30"/>
  <c r="J31"/>
  <c r="J32"/>
  <c r="J33"/>
  <c r="C34"/>
  <c r="D34"/>
  <c r="E34"/>
  <c r="F34"/>
  <c r="G34"/>
  <c r="H34"/>
  <c r="I34"/>
  <c r="J34"/>
  <c r="K34"/>
  <c r="G36"/>
  <c r="H36"/>
  <c r="I36"/>
  <c r="J36"/>
  <c r="J39"/>
  <c r="G40"/>
  <c r="H40"/>
  <c r="I40"/>
  <c r="J40"/>
  <c r="G45"/>
  <c r="H45"/>
  <c r="I45"/>
  <c r="J45"/>
  <c r="C46"/>
  <c r="D46"/>
  <c r="E46"/>
  <c r="F46"/>
  <c r="G46"/>
  <c r="H46"/>
  <c r="I46"/>
  <c r="J46"/>
  <c r="K46"/>
  <c r="C52"/>
  <c r="D52"/>
  <c r="E52"/>
  <c r="F52"/>
  <c r="G52"/>
  <c r="H52"/>
  <c r="I52"/>
  <c r="J52"/>
  <c r="K52"/>
  <c r="C57"/>
  <c r="D57"/>
  <c r="E57"/>
  <c r="F57"/>
  <c r="G57"/>
  <c r="H57"/>
  <c r="I57"/>
  <c r="J57"/>
  <c r="K57"/>
  <c r="C62"/>
  <c r="D62"/>
  <c r="E62"/>
  <c r="F62"/>
  <c r="G62"/>
  <c r="H62"/>
  <c r="I62"/>
  <c r="J62"/>
  <c r="C63"/>
  <c r="D63"/>
  <c r="E63"/>
  <c r="F63"/>
  <c r="G63"/>
  <c r="H63"/>
  <c r="I63"/>
  <c r="J63"/>
  <c r="K63"/>
  <c r="C67"/>
  <c r="D67"/>
  <c r="E67"/>
  <c r="F67"/>
  <c r="G67"/>
  <c r="H67"/>
  <c r="I67"/>
  <c r="J67"/>
  <c r="K67"/>
  <c r="C72"/>
  <c r="D72"/>
  <c r="E72"/>
  <c r="F72"/>
  <c r="G72"/>
  <c r="H72"/>
  <c r="I72"/>
  <c r="J72"/>
  <c r="K72"/>
  <c r="G73"/>
  <c r="H73"/>
  <c r="I73"/>
  <c r="J73"/>
  <c r="K73"/>
  <c r="C75"/>
  <c r="D75"/>
  <c r="E75"/>
  <c r="F75"/>
  <c r="G75"/>
  <c r="H75"/>
  <c r="I75"/>
  <c r="J75"/>
  <c r="K75"/>
  <c r="K86"/>
  <c r="C79"/>
  <c r="D79"/>
  <c r="E79"/>
  <c r="F79"/>
  <c r="G79"/>
  <c r="H79"/>
  <c r="I79"/>
  <c r="J79"/>
  <c r="K79"/>
  <c r="C86"/>
  <c r="D86"/>
  <c r="E86"/>
  <c r="F86"/>
  <c r="G86"/>
  <c r="H86"/>
  <c r="I86"/>
  <c r="J86"/>
  <c r="C88"/>
  <c r="D88"/>
  <c r="E88"/>
  <c r="F88"/>
  <c r="G88"/>
  <c r="H88"/>
  <c r="I88"/>
  <c r="J88"/>
  <c r="C91"/>
  <c r="D91"/>
  <c r="E91"/>
  <c r="C93"/>
  <c r="D93"/>
  <c r="E93"/>
  <c r="F93"/>
  <c r="G93"/>
  <c r="H93"/>
  <c r="I93"/>
  <c r="J93"/>
  <c r="F94"/>
  <c r="G94"/>
  <c r="H94"/>
  <c r="I94"/>
  <c r="J94"/>
  <c r="K94"/>
  <c r="F95"/>
  <c r="G95"/>
  <c r="H95"/>
  <c r="I95"/>
  <c r="J95"/>
  <c r="K95"/>
  <c r="F96"/>
  <c r="G96"/>
  <c r="H96"/>
  <c r="I96"/>
  <c r="J96"/>
  <c r="K96"/>
  <c r="C98"/>
  <c r="D98"/>
  <c r="E98"/>
  <c r="F98"/>
  <c r="G98"/>
  <c r="H98"/>
  <c r="I98"/>
  <c r="J98"/>
  <c r="K98"/>
  <c r="J101"/>
  <c r="K101"/>
  <c r="F105"/>
  <c r="G105"/>
  <c r="H105"/>
  <c r="I105"/>
  <c r="J105"/>
  <c r="G110"/>
  <c r="H110"/>
  <c r="I110"/>
  <c r="J110"/>
  <c r="E111"/>
  <c r="F111"/>
  <c r="G111"/>
  <c r="H111"/>
  <c r="I111"/>
  <c r="J111"/>
  <c r="K111"/>
  <c r="F112"/>
  <c r="G112"/>
  <c r="H112"/>
  <c r="I112"/>
  <c r="J112"/>
  <c r="G114"/>
  <c r="H114"/>
  <c r="I114"/>
  <c r="J114"/>
  <c r="K114"/>
  <c r="C115"/>
  <c r="D115"/>
  <c r="E115"/>
  <c r="F115"/>
  <c r="G115"/>
  <c r="H115"/>
  <c r="I115"/>
  <c r="J115"/>
  <c r="K115"/>
  <c r="F116"/>
  <c r="G116"/>
  <c r="H116"/>
  <c r="I116"/>
  <c r="J116"/>
  <c r="K116"/>
  <c r="G118"/>
  <c r="H118"/>
  <c r="I118"/>
  <c r="J118"/>
  <c r="K118"/>
  <c r="C120"/>
  <c r="D120"/>
  <c r="E120"/>
  <c r="F120"/>
  <c r="G120"/>
  <c r="H120"/>
  <c r="I120"/>
  <c r="J120"/>
  <c r="K120"/>
  <c r="E127"/>
  <c r="F127"/>
  <c r="G127"/>
  <c r="H127"/>
  <c r="I127"/>
  <c r="J127"/>
  <c r="K127"/>
  <c r="K128"/>
  <c r="C129"/>
  <c r="D129"/>
  <c r="E129"/>
  <c r="F129"/>
  <c r="G129"/>
  <c r="H129"/>
  <c r="I129"/>
  <c r="J129"/>
  <c r="C130"/>
  <c r="D130"/>
  <c r="E130"/>
  <c r="F130"/>
  <c r="G130"/>
  <c r="H130"/>
  <c r="I130"/>
  <c r="J130"/>
  <c r="K130"/>
  <c r="C134"/>
  <c r="D134"/>
  <c r="E134"/>
  <c r="F134"/>
  <c r="G134"/>
  <c r="H134"/>
  <c r="I134"/>
  <c r="J134"/>
  <c r="K134"/>
  <c r="C141"/>
  <c r="D141"/>
  <c r="E141"/>
  <c r="F141"/>
  <c r="G141"/>
  <c r="H141"/>
  <c r="I141"/>
  <c r="J141"/>
  <c r="K141"/>
  <c r="K154"/>
  <c r="F143"/>
  <c r="G143"/>
  <c r="H143"/>
  <c r="I143"/>
  <c r="J143"/>
  <c r="C146"/>
  <c r="D146"/>
  <c r="E146"/>
  <c r="F146"/>
  <c r="G146"/>
  <c r="H146"/>
  <c r="I146"/>
  <c r="J146"/>
  <c r="K146"/>
  <c r="G153"/>
  <c r="H153"/>
  <c r="I153"/>
  <c r="J153"/>
  <c r="C154"/>
  <c r="D154"/>
  <c r="E154"/>
  <c r="F154"/>
  <c r="G154"/>
  <c r="H154"/>
  <c r="I154"/>
  <c r="J154"/>
  <c r="C156"/>
  <c r="D156"/>
  <c r="E156"/>
  <c r="F156"/>
  <c r="G156"/>
  <c r="H156"/>
  <c r="I156"/>
  <c r="J156"/>
  <c r="E158"/>
  <c r="F158"/>
  <c r="G158"/>
  <c r="H158"/>
  <c r="I158"/>
  <c r="J158"/>
  <c r="G10" i="89"/>
  <c r="G11"/>
  <c r="G12"/>
  <c r="G13"/>
  <c r="G14"/>
  <c r="G15"/>
  <c r="C16"/>
  <c r="D16"/>
  <c r="E16"/>
  <c r="F16"/>
  <c r="G16"/>
  <c r="B1" i="368"/>
  <c r="C8"/>
  <c r="D8"/>
  <c r="E8"/>
  <c r="F8"/>
  <c r="G8"/>
  <c r="C20"/>
  <c r="D20"/>
  <c r="E20"/>
  <c r="F20"/>
  <c r="G20"/>
  <c r="C26"/>
  <c r="D26"/>
  <c r="E26"/>
  <c r="F26"/>
  <c r="G26"/>
  <c r="C30"/>
  <c r="D30"/>
  <c r="E30"/>
  <c r="F30"/>
  <c r="G30"/>
  <c r="C36"/>
  <c r="D36"/>
  <c r="E36"/>
  <c r="F36"/>
  <c r="G36"/>
  <c r="C37"/>
  <c r="D37"/>
  <c r="E37"/>
  <c r="F37"/>
  <c r="G37"/>
  <c r="C41"/>
  <c r="D41"/>
  <c r="E41"/>
  <c r="F41"/>
  <c r="G41"/>
  <c r="C45"/>
  <c r="D45"/>
  <c r="E45"/>
  <c r="F45"/>
  <c r="G45"/>
  <c r="C51"/>
  <c r="D51"/>
  <c r="E51"/>
  <c r="F51"/>
  <c r="G51"/>
  <c r="C57"/>
  <c r="D57"/>
  <c r="E57"/>
  <c r="F57"/>
  <c r="G57"/>
  <c r="B1" i="367"/>
  <c r="C8"/>
  <c r="D8"/>
  <c r="E8"/>
  <c r="F8"/>
  <c r="G8"/>
  <c r="C20"/>
  <c r="D20"/>
  <c r="E20"/>
  <c r="F20"/>
  <c r="G20"/>
  <c r="C26"/>
  <c r="D26"/>
  <c r="E26"/>
  <c r="F26"/>
  <c r="G26"/>
  <c r="C30"/>
  <c r="D30"/>
  <c r="E30"/>
  <c r="F30"/>
  <c r="G30"/>
  <c r="C36"/>
  <c r="D36"/>
  <c r="E36"/>
  <c r="F36"/>
  <c r="G36"/>
  <c r="C37"/>
  <c r="D37"/>
  <c r="E37"/>
  <c r="F37"/>
  <c r="G37"/>
  <c r="C41"/>
  <c r="D41"/>
  <c r="E41"/>
  <c r="F41"/>
  <c r="G41"/>
  <c r="C45"/>
  <c r="D45"/>
  <c r="E45"/>
  <c r="F45"/>
  <c r="G45"/>
  <c r="C51"/>
  <c r="D51"/>
  <c r="E51"/>
  <c r="F51"/>
  <c r="G51"/>
  <c r="C57"/>
  <c r="D57"/>
  <c r="E57"/>
  <c r="F57"/>
  <c r="G57"/>
  <c r="B1" i="366"/>
  <c r="C8"/>
  <c r="D8"/>
  <c r="E8"/>
  <c r="F8"/>
  <c r="G8"/>
  <c r="E10"/>
  <c r="F10"/>
  <c r="G10"/>
  <c r="C11"/>
  <c r="D11"/>
  <c r="E11"/>
  <c r="F11"/>
  <c r="G11"/>
  <c r="D19"/>
  <c r="E19"/>
  <c r="F19"/>
  <c r="G19"/>
  <c r="C20"/>
  <c r="D20"/>
  <c r="E20"/>
  <c r="F20"/>
  <c r="G20"/>
  <c r="E23"/>
  <c r="F23"/>
  <c r="G23"/>
  <c r="C26"/>
  <c r="D26"/>
  <c r="E26"/>
  <c r="F26"/>
  <c r="G26"/>
  <c r="C30"/>
  <c r="D30"/>
  <c r="E30"/>
  <c r="F30"/>
  <c r="G30"/>
  <c r="C36"/>
  <c r="D36"/>
  <c r="E36"/>
  <c r="F36"/>
  <c r="G36"/>
  <c r="C37"/>
  <c r="D37"/>
  <c r="E37"/>
  <c r="F37"/>
  <c r="G37"/>
  <c r="D40"/>
  <c r="E40"/>
  <c r="F40"/>
  <c r="G40"/>
  <c r="C41"/>
  <c r="D41"/>
  <c r="E41"/>
  <c r="F41"/>
  <c r="G41"/>
  <c r="C45"/>
  <c r="D45"/>
  <c r="E45"/>
  <c r="F45"/>
  <c r="G45"/>
  <c r="D46"/>
  <c r="E46"/>
  <c r="F46"/>
  <c r="G46"/>
  <c r="D47"/>
  <c r="E47"/>
  <c r="F47"/>
  <c r="G47"/>
  <c r="D48"/>
  <c r="E48"/>
  <c r="F48"/>
  <c r="G48"/>
  <c r="C51"/>
  <c r="D51"/>
  <c r="E51"/>
  <c r="F51"/>
  <c r="G51"/>
  <c r="D52"/>
  <c r="E52"/>
  <c r="F52"/>
  <c r="G52"/>
  <c r="C57"/>
  <c r="D57"/>
  <c r="E57"/>
  <c r="F57"/>
  <c r="G57"/>
  <c r="C8" i="365"/>
  <c r="D8"/>
  <c r="E8"/>
  <c r="F8"/>
  <c r="G8"/>
  <c r="E10"/>
  <c r="F10"/>
  <c r="G10"/>
  <c r="C11"/>
  <c r="D11"/>
  <c r="E11"/>
  <c r="F11"/>
  <c r="G11"/>
  <c r="D19"/>
  <c r="E19"/>
  <c r="F19"/>
  <c r="G19"/>
  <c r="C20"/>
  <c r="D20"/>
  <c r="E20"/>
  <c r="F20"/>
  <c r="G20"/>
  <c r="E23"/>
  <c r="F23"/>
  <c r="G23"/>
  <c r="C26"/>
  <c r="D26"/>
  <c r="E26"/>
  <c r="F26"/>
  <c r="G26"/>
  <c r="C30"/>
  <c r="D30"/>
  <c r="E30"/>
  <c r="F30"/>
  <c r="G30"/>
  <c r="C36"/>
  <c r="D36"/>
  <c r="E36"/>
  <c r="F36"/>
  <c r="G36"/>
  <c r="C37"/>
  <c r="D37"/>
  <c r="E37"/>
  <c r="F37"/>
  <c r="G37"/>
  <c r="D40"/>
  <c r="E40"/>
  <c r="F40"/>
  <c r="G40"/>
  <c r="C41"/>
  <c r="D41"/>
  <c r="E41"/>
  <c r="F41"/>
  <c r="G41"/>
  <c r="C45"/>
  <c r="D45"/>
  <c r="E45"/>
  <c r="F45"/>
  <c r="G45"/>
  <c r="D46"/>
  <c r="E46"/>
  <c r="F46"/>
  <c r="G46"/>
  <c r="D47"/>
  <c r="E47"/>
  <c r="F47"/>
  <c r="G47"/>
  <c r="D48"/>
  <c r="E48"/>
  <c r="F48"/>
  <c r="G48"/>
  <c r="C51"/>
  <c r="D51"/>
  <c r="E51"/>
  <c r="F51"/>
  <c r="G51"/>
  <c r="D52"/>
  <c r="E52"/>
  <c r="F52"/>
  <c r="G52"/>
  <c r="C57"/>
  <c r="D57"/>
  <c r="E57"/>
  <c r="F57"/>
  <c r="G57"/>
  <c r="C8" i="364"/>
  <c r="D8"/>
  <c r="E8"/>
  <c r="F8"/>
  <c r="C20"/>
  <c r="D20"/>
  <c r="E20"/>
  <c r="F20"/>
  <c r="C26"/>
  <c r="D26"/>
  <c r="E26"/>
  <c r="F26"/>
  <c r="C31"/>
  <c r="D31"/>
  <c r="E31"/>
  <c r="F31"/>
  <c r="C37"/>
  <c r="D37"/>
  <c r="E37"/>
  <c r="F37"/>
  <c r="C38"/>
  <c r="D38"/>
  <c r="E38"/>
  <c r="F38"/>
  <c r="C42"/>
  <c r="D42"/>
  <c r="E42"/>
  <c r="F42"/>
  <c r="C46"/>
  <c r="D46"/>
  <c r="E46"/>
  <c r="F46"/>
  <c r="C52"/>
  <c r="D52"/>
  <c r="E52"/>
  <c r="F52"/>
  <c r="C58"/>
  <c r="D58"/>
  <c r="E58"/>
  <c r="F58"/>
  <c r="C8" i="363"/>
  <c r="D8"/>
  <c r="E8"/>
  <c r="F8"/>
  <c r="C20"/>
  <c r="D20"/>
  <c r="E20"/>
  <c r="F20"/>
  <c r="C26"/>
  <c r="D26"/>
  <c r="E26"/>
  <c r="F26"/>
  <c r="C31"/>
  <c r="D31"/>
  <c r="E31"/>
  <c r="F31"/>
  <c r="C37"/>
  <c r="D37"/>
  <c r="E37"/>
  <c r="F37"/>
  <c r="C38"/>
  <c r="D38"/>
  <c r="E38"/>
  <c r="F38"/>
  <c r="C42"/>
  <c r="D42"/>
  <c r="E42"/>
  <c r="F42"/>
  <c r="C46"/>
  <c r="D46"/>
  <c r="E46"/>
  <c r="F46"/>
  <c r="C52"/>
  <c r="D52"/>
  <c r="E52"/>
  <c r="F52"/>
  <c r="C58"/>
  <c r="D58"/>
  <c r="E58"/>
  <c r="F58"/>
  <c r="C8" i="362"/>
  <c r="D8"/>
  <c r="E8"/>
  <c r="F8"/>
  <c r="E10"/>
  <c r="F10"/>
  <c r="E11"/>
  <c r="F11"/>
  <c r="E19"/>
  <c r="F19"/>
  <c r="C20"/>
  <c r="D20"/>
  <c r="E20"/>
  <c r="F20"/>
  <c r="D23"/>
  <c r="E23"/>
  <c r="F23"/>
  <c r="C26"/>
  <c r="D26"/>
  <c r="E26"/>
  <c r="F26"/>
  <c r="C31"/>
  <c r="D31"/>
  <c r="E31"/>
  <c r="F31"/>
  <c r="C37"/>
  <c r="D37"/>
  <c r="E37"/>
  <c r="F37"/>
  <c r="C38"/>
  <c r="D38"/>
  <c r="E38"/>
  <c r="F38"/>
  <c r="D39"/>
  <c r="E39"/>
  <c r="F39"/>
  <c r="D41"/>
  <c r="E41"/>
  <c r="F41"/>
  <c r="C42"/>
  <c r="D42"/>
  <c r="E42"/>
  <c r="F42"/>
  <c r="C46"/>
  <c r="D46"/>
  <c r="E46"/>
  <c r="F46"/>
  <c r="D47"/>
  <c r="E47"/>
  <c r="F47"/>
  <c r="D48"/>
  <c r="E48"/>
  <c r="F48"/>
  <c r="D49"/>
  <c r="E49"/>
  <c r="F49"/>
  <c r="C52"/>
  <c r="D52"/>
  <c r="E52"/>
  <c r="F52"/>
  <c r="C58"/>
  <c r="D58"/>
  <c r="E58"/>
  <c r="F58"/>
  <c r="C8" i="361"/>
  <c r="D8"/>
  <c r="E8"/>
  <c r="F8"/>
  <c r="E10"/>
  <c r="F10"/>
  <c r="C20"/>
  <c r="D20"/>
  <c r="E20"/>
  <c r="F20"/>
  <c r="D23"/>
  <c r="E23"/>
  <c r="F23"/>
  <c r="C26"/>
  <c r="D26"/>
  <c r="E26"/>
  <c r="F26"/>
  <c r="C31"/>
  <c r="D31"/>
  <c r="E31"/>
  <c r="F31"/>
  <c r="C37"/>
  <c r="D37"/>
  <c r="E37"/>
  <c r="F37"/>
  <c r="C38"/>
  <c r="D38"/>
  <c r="E38"/>
  <c r="F38"/>
  <c r="D41"/>
  <c r="E41"/>
  <c r="F41"/>
  <c r="C42"/>
  <c r="D42"/>
  <c r="E42"/>
  <c r="F42"/>
  <c r="C46"/>
  <c r="D46"/>
  <c r="E46"/>
  <c r="F46"/>
  <c r="C47"/>
  <c r="D47"/>
  <c r="E47"/>
  <c r="F47"/>
  <c r="C48"/>
  <c r="D48"/>
  <c r="E48"/>
  <c r="F48"/>
  <c r="C49"/>
  <c r="D49"/>
  <c r="E49"/>
  <c r="F49"/>
  <c r="C52"/>
  <c r="D52"/>
  <c r="E52"/>
  <c r="F52"/>
  <c r="C58"/>
  <c r="D58"/>
  <c r="E58"/>
  <c r="F58"/>
  <c r="C8" i="360"/>
  <c r="D8"/>
  <c r="E8"/>
  <c r="F8"/>
  <c r="E10"/>
  <c r="F10"/>
  <c r="E11"/>
  <c r="F11"/>
  <c r="E19"/>
  <c r="F19"/>
  <c r="C20"/>
  <c r="D20"/>
  <c r="E20"/>
  <c r="F20"/>
  <c r="D23"/>
  <c r="E23"/>
  <c r="F23"/>
  <c r="C26"/>
  <c r="D26"/>
  <c r="E26"/>
  <c r="F26"/>
  <c r="C31"/>
  <c r="D31"/>
  <c r="E31"/>
  <c r="F31"/>
  <c r="C37"/>
  <c r="D37"/>
  <c r="E37"/>
  <c r="F37"/>
  <c r="C38"/>
  <c r="D38"/>
  <c r="E38"/>
  <c r="F38"/>
  <c r="D39"/>
  <c r="E39"/>
  <c r="F39"/>
  <c r="D41"/>
  <c r="E41"/>
  <c r="F41"/>
  <c r="C42"/>
  <c r="D42"/>
  <c r="E42"/>
  <c r="F42"/>
  <c r="C46"/>
  <c r="D46"/>
  <c r="E46"/>
  <c r="F46"/>
  <c r="C47"/>
  <c r="D47"/>
  <c r="E47"/>
  <c r="F47"/>
  <c r="C48"/>
  <c r="D48"/>
  <c r="E48"/>
  <c r="F48"/>
  <c r="C49"/>
  <c r="D49"/>
  <c r="E49"/>
  <c r="F49"/>
  <c r="C52"/>
  <c r="D52"/>
  <c r="E52"/>
  <c r="F52"/>
  <c r="C58"/>
  <c r="D58"/>
  <c r="E58"/>
  <c r="F58"/>
  <c r="C8" i="359"/>
  <c r="D8"/>
  <c r="E8"/>
  <c r="F8"/>
  <c r="E10"/>
  <c r="F10"/>
  <c r="E11"/>
  <c r="F11"/>
  <c r="E19"/>
  <c r="F19"/>
  <c r="C20"/>
  <c r="D20"/>
  <c r="E20"/>
  <c r="F20"/>
  <c r="D23"/>
  <c r="E23"/>
  <c r="F23"/>
  <c r="C26"/>
  <c r="D26"/>
  <c r="E26"/>
  <c r="F26"/>
  <c r="C31"/>
  <c r="D31"/>
  <c r="E31"/>
  <c r="F31"/>
  <c r="C37"/>
  <c r="D37"/>
  <c r="E37"/>
  <c r="F37"/>
  <c r="C38"/>
  <c r="D38"/>
  <c r="E38"/>
  <c r="F38"/>
  <c r="D39"/>
  <c r="E39"/>
  <c r="F39"/>
  <c r="D41"/>
  <c r="E41"/>
  <c r="F41"/>
  <c r="C42"/>
  <c r="D42"/>
  <c r="E42"/>
  <c r="F42"/>
  <c r="C46"/>
  <c r="D46"/>
  <c r="E46"/>
  <c r="F46"/>
  <c r="D47"/>
  <c r="E47"/>
  <c r="F47"/>
  <c r="D48"/>
  <c r="E48"/>
  <c r="F48"/>
  <c r="D49"/>
  <c r="E49"/>
  <c r="F49"/>
  <c r="C52"/>
  <c r="D52"/>
  <c r="E52"/>
  <c r="F52"/>
  <c r="C58"/>
  <c r="D58"/>
  <c r="E58"/>
  <c r="F58"/>
  <c r="C8" i="121"/>
  <c r="D8"/>
  <c r="E8"/>
  <c r="F8"/>
  <c r="G8"/>
  <c r="H8"/>
  <c r="I8"/>
  <c r="C15"/>
  <c r="D15"/>
  <c r="E15"/>
  <c r="F15"/>
  <c r="G15"/>
  <c r="H15"/>
  <c r="I15"/>
  <c r="C22"/>
  <c r="D22"/>
  <c r="E22"/>
  <c r="F22"/>
  <c r="G22"/>
  <c r="H22"/>
  <c r="I22"/>
  <c r="C29"/>
  <c r="D29"/>
  <c r="E29"/>
  <c r="F29"/>
  <c r="G29"/>
  <c r="H29"/>
  <c r="I29"/>
  <c r="C30"/>
  <c r="D30"/>
  <c r="E30"/>
  <c r="F30"/>
  <c r="G30"/>
  <c r="H30"/>
  <c r="I30"/>
  <c r="C37"/>
  <c r="D37"/>
  <c r="E37"/>
  <c r="F37"/>
  <c r="G37"/>
  <c r="H37"/>
  <c r="I37"/>
  <c r="C49"/>
  <c r="D49"/>
  <c r="E49"/>
  <c r="F49"/>
  <c r="G49"/>
  <c r="H49"/>
  <c r="I49"/>
  <c r="C55"/>
  <c r="D55"/>
  <c r="E55"/>
  <c r="F55"/>
  <c r="G55"/>
  <c r="H55"/>
  <c r="I55"/>
  <c r="C60"/>
  <c r="D60"/>
  <c r="E60"/>
  <c r="F60"/>
  <c r="G60"/>
  <c r="H60"/>
  <c r="I60"/>
  <c r="C65"/>
  <c r="D65"/>
  <c r="E65"/>
  <c r="F65"/>
  <c r="G65"/>
  <c r="H65"/>
  <c r="I65"/>
  <c r="C66"/>
  <c r="D66"/>
  <c r="E66"/>
  <c r="F66"/>
  <c r="G66"/>
  <c r="H66"/>
  <c r="I66"/>
  <c r="C70"/>
  <c r="D70"/>
  <c r="E70"/>
  <c r="F70"/>
  <c r="G70"/>
  <c r="H70"/>
  <c r="I70"/>
  <c r="C75"/>
  <c r="D75"/>
  <c r="E75"/>
  <c r="F75"/>
  <c r="G75"/>
  <c r="H75"/>
  <c r="I75"/>
  <c r="C78"/>
  <c r="D78"/>
  <c r="E78"/>
  <c r="F78"/>
  <c r="G78"/>
  <c r="H78"/>
  <c r="I78"/>
  <c r="C82"/>
  <c r="D82"/>
  <c r="E82"/>
  <c r="F82"/>
  <c r="G82"/>
  <c r="H82"/>
  <c r="I82"/>
  <c r="C89"/>
  <c r="D89"/>
  <c r="E89"/>
  <c r="F89"/>
  <c r="G89"/>
  <c r="H89"/>
  <c r="I89"/>
  <c r="C90"/>
  <c r="D90"/>
  <c r="E90"/>
  <c r="F90"/>
  <c r="G90"/>
  <c r="H90"/>
  <c r="I90"/>
  <c r="C93"/>
  <c r="D93"/>
  <c r="E93"/>
  <c r="F93"/>
  <c r="G93"/>
  <c r="H93"/>
  <c r="I93"/>
  <c r="C114"/>
  <c r="D114"/>
  <c r="E114"/>
  <c r="F114"/>
  <c r="G114"/>
  <c r="H114"/>
  <c r="I114"/>
  <c r="C128"/>
  <c r="D128"/>
  <c r="E128"/>
  <c r="F128"/>
  <c r="G128"/>
  <c r="H128"/>
  <c r="I128"/>
  <c r="C129"/>
  <c r="D129"/>
  <c r="E129"/>
  <c r="F129"/>
  <c r="G129"/>
  <c r="H129"/>
  <c r="I129"/>
  <c r="C133"/>
  <c r="D133"/>
  <c r="E133"/>
  <c r="F133"/>
  <c r="G133"/>
  <c r="H133"/>
  <c r="I133"/>
  <c r="C140"/>
  <c r="D140"/>
  <c r="E140"/>
  <c r="F140"/>
  <c r="G140"/>
  <c r="H140"/>
  <c r="I140"/>
  <c r="C146"/>
  <c r="D146"/>
  <c r="E146"/>
  <c r="F146"/>
  <c r="G146"/>
  <c r="H146"/>
  <c r="I146"/>
  <c r="C154"/>
  <c r="D154"/>
  <c r="E154"/>
  <c r="F154"/>
  <c r="G154"/>
  <c r="H154"/>
  <c r="I154"/>
  <c r="C155"/>
  <c r="D155"/>
  <c r="E155"/>
  <c r="F155"/>
  <c r="G155"/>
  <c r="H155"/>
  <c r="I155"/>
  <c r="C8" i="120"/>
  <c r="D8"/>
  <c r="E8"/>
  <c r="F8"/>
  <c r="G8"/>
  <c r="H8"/>
  <c r="I8"/>
  <c r="C15"/>
  <c r="D15"/>
  <c r="E15"/>
  <c r="F15"/>
  <c r="G15"/>
  <c r="H15"/>
  <c r="I15"/>
  <c r="C22"/>
  <c r="D22"/>
  <c r="E22"/>
  <c r="F22"/>
  <c r="G22"/>
  <c r="H22"/>
  <c r="I22"/>
  <c r="C29"/>
  <c r="D29"/>
  <c r="E29"/>
  <c r="F29"/>
  <c r="G29"/>
  <c r="H29"/>
  <c r="I29"/>
  <c r="C30"/>
  <c r="D30"/>
  <c r="E30"/>
  <c r="F30"/>
  <c r="G30"/>
  <c r="H30"/>
  <c r="I30"/>
  <c r="C33"/>
  <c r="D33"/>
  <c r="E33"/>
  <c r="F33"/>
  <c r="G33"/>
  <c r="H33"/>
  <c r="I33"/>
  <c r="C37"/>
  <c r="D37"/>
  <c r="E37"/>
  <c r="F37"/>
  <c r="G37"/>
  <c r="H37"/>
  <c r="I37"/>
  <c r="C39"/>
  <c r="D39"/>
  <c r="E39"/>
  <c r="F39"/>
  <c r="G39"/>
  <c r="H39"/>
  <c r="I39"/>
  <c r="C43"/>
  <c r="D43"/>
  <c r="E43"/>
  <c r="F43"/>
  <c r="G43"/>
  <c r="H43"/>
  <c r="I43"/>
  <c r="C49"/>
  <c r="D49"/>
  <c r="E49"/>
  <c r="F49"/>
  <c r="G49"/>
  <c r="H49"/>
  <c r="I49"/>
  <c r="C55"/>
  <c r="D55"/>
  <c r="E55"/>
  <c r="F55"/>
  <c r="G55"/>
  <c r="H55"/>
  <c r="I55"/>
  <c r="C60"/>
  <c r="D60"/>
  <c r="E60"/>
  <c r="F60"/>
  <c r="G60"/>
  <c r="H60"/>
  <c r="I60"/>
  <c r="C65"/>
  <c r="D65"/>
  <c r="E65"/>
  <c r="F65"/>
  <c r="G65"/>
  <c r="H65"/>
  <c r="I65"/>
  <c r="C66"/>
  <c r="D66"/>
  <c r="E66"/>
  <c r="F66"/>
  <c r="G66"/>
  <c r="H66"/>
  <c r="I66"/>
  <c r="C70"/>
  <c r="D70"/>
  <c r="E70"/>
  <c r="F70"/>
  <c r="G70"/>
  <c r="H70"/>
  <c r="I70"/>
  <c r="C75"/>
  <c r="D75"/>
  <c r="E75"/>
  <c r="F75"/>
  <c r="G75"/>
  <c r="H75"/>
  <c r="I75"/>
  <c r="C78"/>
  <c r="D78"/>
  <c r="E78"/>
  <c r="F78"/>
  <c r="G78"/>
  <c r="H78"/>
  <c r="I78"/>
  <c r="C82"/>
  <c r="D82"/>
  <c r="E82"/>
  <c r="F82"/>
  <c r="G82"/>
  <c r="H82"/>
  <c r="I82"/>
  <c r="C89"/>
  <c r="D89"/>
  <c r="E89"/>
  <c r="F89"/>
  <c r="G89"/>
  <c r="H89"/>
  <c r="I89"/>
  <c r="C90"/>
  <c r="D90"/>
  <c r="E90"/>
  <c r="F90"/>
  <c r="G90"/>
  <c r="H90"/>
  <c r="I90"/>
  <c r="C94"/>
  <c r="D94"/>
  <c r="E94"/>
  <c r="F94"/>
  <c r="G94"/>
  <c r="C96"/>
  <c r="D96"/>
  <c r="E96"/>
  <c r="F96"/>
  <c r="G96"/>
  <c r="H96"/>
  <c r="I96"/>
  <c r="E97"/>
  <c r="F97"/>
  <c r="G97"/>
  <c r="H97"/>
  <c r="I97"/>
  <c r="E98"/>
  <c r="F98"/>
  <c r="G98"/>
  <c r="H98"/>
  <c r="I98"/>
  <c r="E99"/>
  <c r="F99"/>
  <c r="G99"/>
  <c r="H99"/>
  <c r="I99"/>
  <c r="C101"/>
  <c r="D101"/>
  <c r="E101"/>
  <c r="F101"/>
  <c r="G101"/>
  <c r="H101"/>
  <c r="I101"/>
  <c r="C114"/>
  <c r="D114"/>
  <c r="E114"/>
  <c r="F114"/>
  <c r="G114"/>
  <c r="H114"/>
  <c r="I114"/>
  <c r="C117"/>
  <c r="D117"/>
  <c r="E117"/>
  <c r="F117"/>
  <c r="G117"/>
  <c r="H117"/>
  <c r="I117"/>
  <c r="E118"/>
  <c r="F118"/>
  <c r="G118"/>
  <c r="H118"/>
  <c r="I118"/>
  <c r="E120"/>
  <c r="F120"/>
  <c r="G120"/>
  <c r="H120"/>
  <c r="I120"/>
  <c r="C122"/>
  <c r="D122"/>
  <c r="E122"/>
  <c r="F122"/>
  <c r="G122"/>
  <c r="H122"/>
  <c r="I122"/>
  <c r="C129"/>
  <c r="D129"/>
  <c r="E129"/>
  <c r="F129"/>
  <c r="G129"/>
  <c r="H129"/>
  <c r="I129"/>
  <c r="C131"/>
  <c r="D131"/>
  <c r="E131"/>
  <c r="F131"/>
  <c r="G131"/>
  <c r="H131"/>
  <c r="I131"/>
  <c r="C132"/>
  <c r="D132"/>
  <c r="E132"/>
  <c r="F132"/>
  <c r="G132"/>
  <c r="H132"/>
  <c r="I132"/>
  <c r="C136"/>
  <c r="D136"/>
  <c r="E136"/>
  <c r="F136"/>
  <c r="G136"/>
  <c r="H136"/>
  <c r="I136"/>
  <c r="C143"/>
  <c r="D143"/>
  <c r="E143"/>
  <c r="F143"/>
  <c r="G143"/>
  <c r="H143"/>
  <c r="I143"/>
  <c r="C148"/>
  <c r="D148"/>
  <c r="E148"/>
  <c r="F148"/>
  <c r="G148"/>
  <c r="H148"/>
  <c r="I148"/>
  <c r="C156"/>
  <c r="D156"/>
  <c r="E156"/>
  <c r="F156"/>
  <c r="G156"/>
  <c r="H156"/>
  <c r="I156"/>
  <c r="C157"/>
  <c r="D157"/>
  <c r="E157"/>
  <c r="F157"/>
  <c r="G157"/>
  <c r="H157"/>
  <c r="I157"/>
  <c r="C8" i="119"/>
  <c r="D8"/>
  <c r="E8"/>
  <c r="F8"/>
  <c r="G8"/>
  <c r="H8"/>
  <c r="I8"/>
  <c r="I9"/>
  <c r="E10"/>
  <c r="F10"/>
  <c r="G10"/>
  <c r="H10"/>
  <c r="I10"/>
  <c r="E11"/>
  <c r="F11"/>
  <c r="G11"/>
  <c r="H11"/>
  <c r="I11"/>
  <c r="D12"/>
  <c r="E12"/>
  <c r="F12"/>
  <c r="G12"/>
  <c r="H12"/>
  <c r="I12"/>
  <c r="D13"/>
  <c r="E13"/>
  <c r="F13"/>
  <c r="G13"/>
  <c r="H13"/>
  <c r="I13"/>
  <c r="C15"/>
  <c r="D15"/>
  <c r="E15"/>
  <c r="F15"/>
  <c r="G15"/>
  <c r="H15"/>
  <c r="I15"/>
  <c r="D20"/>
  <c r="E20"/>
  <c r="F20"/>
  <c r="G20"/>
  <c r="H20"/>
  <c r="I20"/>
  <c r="C22"/>
  <c r="D22"/>
  <c r="E22"/>
  <c r="F22"/>
  <c r="G22"/>
  <c r="H22"/>
  <c r="I22"/>
  <c r="H23"/>
  <c r="I23"/>
  <c r="E27"/>
  <c r="F27"/>
  <c r="G27"/>
  <c r="H27"/>
  <c r="I27"/>
  <c r="C29"/>
  <c r="D29"/>
  <c r="E29"/>
  <c r="F29"/>
  <c r="G29"/>
  <c r="H29"/>
  <c r="C30"/>
  <c r="D30"/>
  <c r="E30"/>
  <c r="F30"/>
  <c r="G30"/>
  <c r="H30"/>
  <c r="I30"/>
  <c r="I29"/>
  <c r="H31"/>
  <c r="H33"/>
  <c r="H34"/>
  <c r="H35"/>
  <c r="H36"/>
  <c r="C37"/>
  <c r="D37"/>
  <c r="E37"/>
  <c r="F37"/>
  <c r="G37"/>
  <c r="H37"/>
  <c r="C39"/>
  <c r="D39"/>
  <c r="E39"/>
  <c r="F39"/>
  <c r="G39"/>
  <c r="H39"/>
  <c r="H42"/>
  <c r="C43"/>
  <c r="D43"/>
  <c r="E43"/>
  <c r="F43"/>
  <c r="G43"/>
  <c r="H43"/>
  <c r="E48"/>
  <c r="F48"/>
  <c r="G48"/>
  <c r="H48"/>
  <c r="C49"/>
  <c r="D49"/>
  <c r="E49"/>
  <c r="F49"/>
  <c r="G49"/>
  <c r="H49"/>
  <c r="I49"/>
  <c r="C55"/>
  <c r="D55"/>
  <c r="E55"/>
  <c r="F55"/>
  <c r="G55"/>
  <c r="H55"/>
  <c r="I55"/>
  <c r="C60"/>
  <c r="D60"/>
  <c r="E60"/>
  <c r="F60"/>
  <c r="G60"/>
  <c r="H60"/>
  <c r="I60"/>
  <c r="C65"/>
  <c r="D65"/>
  <c r="E65"/>
  <c r="F65"/>
  <c r="G65"/>
  <c r="H65"/>
  <c r="C66"/>
  <c r="D66"/>
  <c r="E66"/>
  <c r="F66"/>
  <c r="G66"/>
  <c r="H66"/>
  <c r="I66"/>
  <c r="C70"/>
  <c r="D70"/>
  <c r="E70"/>
  <c r="F70"/>
  <c r="G70"/>
  <c r="H70"/>
  <c r="I70"/>
  <c r="I89"/>
  <c r="C75"/>
  <c r="D75"/>
  <c r="E75"/>
  <c r="F75"/>
  <c r="G75"/>
  <c r="H75"/>
  <c r="I75"/>
  <c r="E76"/>
  <c r="F76"/>
  <c r="G76"/>
  <c r="H76"/>
  <c r="I76"/>
  <c r="C78"/>
  <c r="D78"/>
  <c r="E78"/>
  <c r="F78"/>
  <c r="G78"/>
  <c r="H78"/>
  <c r="I78"/>
  <c r="C82"/>
  <c r="D82"/>
  <c r="E82"/>
  <c r="F82"/>
  <c r="G82"/>
  <c r="H82"/>
  <c r="I82"/>
  <c r="C89"/>
  <c r="D89"/>
  <c r="E89"/>
  <c r="F89"/>
  <c r="G89"/>
  <c r="H89"/>
  <c r="C90"/>
  <c r="D90"/>
  <c r="E90"/>
  <c r="F90"/>
  <c r="G90"/>
  <c r="H90"/>
  <c r="C96"/>
  <c r="D96"/>
  <c r="E96"/>
  <c r="F96"/>
  <c r="G96"/>
  <c r="H96"/>
  <c r="C97"/>
  <c r="D97"/>
  <c r="E97"/>
  <c r="F97"/>
  <c r="G97"/>
  <c r="H97"/>
  <c r="I97"/>
  <c r="C98"/>
  <c r="D98"/>
  <c r="E98"/>
  <c r="F98"/>
  <c r="G98"/>
  <c r="H98"/>
  <c r="I98"/>
  <c r="C99"/>
  <c r="D99"/>
  <c r="E99"/>
  <c r="F99"/>
  <c r="G99"/>
  <c r="H99"/>
  <c r="I99"/>
  <c r="C100"/>
  <c r="D100"/>
  <c r="E100"/>
  <c r="F100"/>
  <c r="G100"/>
  <c r="H100"/>
  <c r="I100"/>
  <c r="C101"/>
  <c r="D101"/>
  <c r="E101"/>
  <c r="F101"/>
  <c r="G101"/>
  <c r="H101"/>
  <c r="I101"/>
  <c r="I96"/>
  <c r="I132"/>
  <c r="I158"/>
  <c r="C104"/>
  <c r="D104"/>
  <c r="E104"/>
  <c r="F104"/>
  <c r="G104"/>
  <c r="H104"/>
  <c r="I104"/>
  <c r="C108"/>
  <c r="D108"/>
  <c r="E108"/>
  <c r="F108"/>
  <c r="G108"/>
  <c r="H108"/>
  <c r="C113"/>
  <c r="D113"/>
  <c r="E113"/>
  <c r="F113"/>
  <c r="G113"/>
  <c r="H113"/>
  <c r="C114"/>
  <c r="D114"/>
  <c r="E114"/>
  <c r="F114"/>
  <c r="G114"/>
  <c r="H114"/>
  <c r="I114"/>
  <c r="D115"/>
  <c r="E115"/>
  <c r="F115"/>
  <c r="G115"/>
  <c r="H115"/>
  <c r="E117"/>
  <c r="F117"/>
  <c r="G117"/>
  <c r="H117"/>
  <c r="I117"/>
  <c r="C118"/>
  <c r="D118"/>
  <c r="E118"/>
  <c r="F118"/>
  <c r="G118"/>
  <c r="H118"/>
  <c r="I118"/>
  <c r="C119"/>
  <c r="D119"/>
  <c r="E119"/>
  <c r="F119"/>
  <c r="G119"/>
  <c r="H119"/>
  <c r="I119"/>
  <c r="C121"/>
  <c r="D121"/>
  <c r="E121"/>
  <c r="F121"/>
  <c r="G121"/>
  <c r="H121"/>
  <c r="I121"/>
  <c r="C123"/>
  <c r="D123"/>
  <c r="E123"/>
  <c r="F123"/>
  <c r="G123"/>
  <c r="H123"/>
  <c r="I123"/>
  <c r="I131"/>
  <c r="C132"/>
  <c r="D132"/>
  <c r="E132"/>
  <c r="F132"/>
  <c r="G132"/>
  <c r="H132"/>
  <c r="C133"/>
  <c r="D133"/>
  <c r="E133"/>
  <c r="F133"/>
  <c r="G133"/>
  <c r="H133"/>
  <c r="I133"/>
  <c r="C137"/>
  <c r="D137"/>
  <c r="E137"/>
  <c r="F137"/>
  <c r="G137"/>
  <c r="H137"/>
  <c r="I137"/>
  <c r="C144"/>
  <c r="D144"/>
  <c r="E144"/>
  <c r="F144"/>
  <c r="G144"/>
  <c r="H144"/>
  <c r="I144"/>
  <c r="I157"/>
  <c r="C146"/>
  <c r="D146"/>
  <c r="E146"/>
  <c r="F146"/>
  <c r="G146"/>
  <c r="H146"/>
  <c r="C149"/>
  <c r="D149"/>
  <c r="E149"/>
  <c r="F149"/>
  <c r="G149"/>
  <c r="H149"/>
  <c r="I149"/>
  <c r="C156"/>
  <c r="D156"/>
  <c r="E156"/>
  <c r="F156"/>
  <c r="G156"/>
  <c r="H156"/>
  <c r="C157"/>
  <c r="D157"/>
  <c r="E157"/>
  <c r="F157"/>
  <c r="G157"/>
  <c r="H157"/>
  <c r="C158"/>
  <c r="D158"/>
  <c r="E158"/>
  <c r="F158"/>
  <c r="G158"/>
  <c r="H158"/>
  <c r="C8" i="3"/>
  <c r="D8"/>
  <c r="E8"/>
  <c r="F8"/>
  <c r="G8"/>
  <c r="H8"/>
  <c r="I8"/>
  <c r="I9"/>
  <c r="E10"/>
  <c r="F10"/>
  <c r="G10"/>
  <c r="H10"/>
  <c r="I10"/>
  <c r="E11"/>
  <c r="F11"/>
  <c r="G11"/>
  <c r="H11"/>
  <c r="I11"/>
  <c r="D12"/>
  <c r="E12"/>
  <c r="F12"/>
  <c r="G12"/>
  <c r="H12"/>
  <c r="I12"/>
  <c r="D13"/>
  <c r="E13"/>
  <c r="F13"/>
  <c r="G13"/>
  <c r="H13"/>
  <c r="I13"/>
  <c r="C15"/>
  <c r="D15"/>
  <c r="E15"/>
  <c r="F15"/>
  <c r="G15"/>
  <c r="H15"/>
  <c r="I15"/>
  <c r="D20"/>
  <c r="E20"/>
  <c r="F20"/>
  <c r="G20"/>
  <c r="H20"/>
  <c r="I20"/>
  <c r="C22"/>
  <c r="D22"/>
  <c r="E22"/>
  <c r="F22"/>
  <c r="G22"/>
  <c r="H22"/>
  <c r="I22"/>
  <c r="H23"/>
  <c r="I23"/>
  <c r="E27"/>
  <c r="F27"/>
  <c r="G27"/>
  <c r="H27"/>
  <c r="I27"/>
  <c r="C29"/>
  <c r="D29"/>
  <c r="E29"/>
  <c r="F29"/>
  <c r="G29"/>
  <c r="H29"/>
  <c r="C30"/>
  <c r="D30"/>
  <c r="E30"/>
  <c r="F30"/>
  <c r="G30"/>
  <c r="H30"/>
  <c r="I30"/>
  <c r="I29"/>
  <c r="H31"/>
  <c r="H33"/>
  <c r="H34"/>
  <c r="H35"/>
  <c r="H36"/>
  <c r="C37"/>
  <c r="D37"/>
  <c r="E37"/>
  <c r="F37"/>
  <c r="G37"/>
  <c r="H37"/>
  <c r="I37"/>
  <c r="E39"/>
  <c r="F39"/>
  <c r="G39"/>
  <c r="H39"/>
  <c r="H42"/>
  <c r="E43"/>
  <c r="F43"/>
  <c r="G43"/>
  <c r="H43"/>
  <c r="E48"/>
  <c r="F48"/>
  <c r="G48"/>
  <c r="H48"/>
  <c r="C49"/>
  <c r="D49"/>
  <c r="E49"/>
  <c r="F49"/>
  <c r="G49"/>
  <c r="H49"/>
  <c r="I49"/>
  <c r="C55"/>
  <c r="D55"/>
  <c r="E55"/>
  <c r="F55"/>
  <c r="G55"/>
  <c r="H55"/>
  <c r="I55"/>
  <c r="C60"/>
  <c r="D60"/>
  <c r="E60"/>
  <c r="F60"/>
  <c r="G60"/>
  <c r="H60"/>
  <c r="I60"/>
  <c r="C65"/>
  <c r="D65"/>
  <c r="E65"/>
  <c r="F65"/>
  <c r="G65"/>
  <c r="H65"/>
  <c r="C66"/>
  <c r="D66"/>
  <c r="E66"/>
  <c r="F66"/>
  <c r="G66"/>
  <c r="H66"/>
  <c r="I66"/>
  <c r="C70"/>
  <c r="D70"/>
  <c r="E70"/>
  <c r="F70"/>
  <c r="G70"/>
  <c r="H70"/>
  <c r="I70"/>
  <c r="C75"/>
  <c r="D75"/>
  <c r="E75"/>
  <c r="F75"/>
  <c r="G75"/>
  <c r="H75"/>
  <c r="I75"/>
  <c r="E76"/>
  <c r="F76"/>
  <c r="G76"/>
  <c r="H76"/>
  <c r="I76"/>
  <c r="C78"/>
  <c r="D78"/>
  <c r="E78"/>
  <c r="F78"/>
  <c r="G78"/>
  <c r="H78"/>
  <c r="I78"/>
  <c r="I89"/>
  <c r="C82"/>
  <c r="D82"/>
  <c r="E82"/>
  <c r="F82"/>
  <c r="G82"/>
  <c r="H82"/>
  <c r="I82"/>
  <c r="C89"/>
  <c r="D89"/>
  <c r="E89"/>
  <c r="F89"/>
  <c r="G89"/>
  <c r="H89"/>
  <c r="C90"/>
  <c r="D90"/>
  <c r="E90"/>
  <c r="F90"/>
  <c r="G90"/>
  <c r="H90"/>
  <c r="C94"/>
  <c r="D94"/>
  <c r="E94"/>
  <c r="F94"/>
  <c r="G94"/>
  <c r="H94"/>
  <c r="I94"/>
  <c r="C96"/>
  <c r="D96"/>
  <c r="E96"/>
  <c r="F96"/>
  <c r="G96"/>
  <c r="H96"/>
  <c r="D97"/>
  <c r="E97"/>
  <c r="F97"/>
  <c r="G97"/>
  <c r="H97"/>
  <c r="I97"/>
  <c r="D98"/>
  <c r="E98"/>
  <c r="F98"/>
  <c r="G98"/>
  <c r="H98"/>
  <c r="I98"/>
  <c r="D99"/>
  <c r="E99"/>
  <c r="F99"/>
  <c r="G99"/>
  <c r="H99"/>
  <c r="I99"/>
  <c r="C101"/>
  <c r="D101"/>
  <c r="E101"/>
  <c r="F101"/>
  <c r="G101"/>
  <c r="H101"/>
  <c r="I101"/>
  <c r="H104"/>
  <c r="I104"/>
  <c r="D108"/>
  <c r="E108"/>
  <c r="F108"/>
  <c r="G108"/>
  <c r="H108"/>
  <c r="E113"/>
  <c r="F113"/>
  <c r="G113"/>
  <c r="H113"/>
  <c r="C114"/>
  <c r="D114"/>
  <c r="E114"/>
  <c r="F114"/>
  <c r="G114"/>
  <c r="H114"/>
  <c r="I114"/>
  <c r="D115"/>
  <c r="E115"/>
  <c r="F115"/>
  <c r="G115"/>
  <c r="H115"/>
  <c r="E117"/>
  <c r="F117"/>
  <c r="G117"/>
  <c r="H117"/>
  <c r="I117"/>
  <c r="C118"/>
  <c r="D118"/>
  <c r="E118"/>
  <c r="F118"/>
  <c r="G118"/>
  <c r="H118"/>
  <c r="I118"/>
  <c r="D119"/>
  <c r="E119"/>
  <c r="F119"/>
  <c r="G119"/>
  <c r="H119"/>
  <c r="I119"/>
  <c r="E121"/>
  <c r="F121"/>
  <c r="G121"/>
  <c r="H121"/>
  <c r="I121"/>
  <c r="C123"/>
  <c r="D123"/>
  <c r="E123"/>
  <c r="F123"/>
  <c r="G123"/>
  <c r="H123"/>
  <c r="I123"/>
  <c r="C130"/>
  <c r="D130"/>
  <c r="E130"/>
  <c r="F130"/>
  <c r="G130"/>
  <c r="H130"/>
  <c r="I130"/>
  <c r="I131"/>
  <c r="C132"/>
  <c r="D132"/>
  <c r="E132"/>
  <c r="F132"/>
  <c r="G132"/>
  <c r="H132"/>
  <c r="C133"/>
  <c r="D133"/>
  <c r="E133"/>
  <c r="F133"/>
  <c r="G133"/>
  <c r="H133"/>
  <c r="I133"/>
  <c r="C137"/>
  <c r="D137"/>
  <c r="E137"/>
  <c r="F137"/>
  <c r="G137"/>
  <c r="H137"/>
  <c r="I137"/>
  <c r="C144"/>
  <c r="D144"/>
  <c r="E144"/>
  <c r="F144"/>
  <c r="G144"/>
  <c r="H144"/>
  <c r="I144"/>
  <c r="I157"/>
  <c r="D146"/>
  <c r="E146"/>
  <c r="F146"/>
  <c r="G146"/>
  <c r="H146"/>
  <c r="C149"/>
  <c r="D149"/>
  <c r="E149"/>
  <c r="F149"/>
  <c r="G149"/>
  <c r="H149"/>
  <c r="I149"/>
  <c r="E156"/>
  <c r="F156"/>
  <c r="G156"/>
  <c r="H156"/>
  <c r="C157"/>
  <c r="D157"/>
  <c r="E157"/>
  <c r="F157"/>
  <c r="G157"/>
  <c r="H157"/>
  <c r="C158"/>
  <c r="D158"/>
  <c r="E158"/>
  <c r="F158"/>
  <c r="G158"/>
  <c r="H158"/>
  <c r="E160"/>
  <c r="F160"/>
  <c r="G160"/>
  <c r="H160"/>
  <c r="I160"/>
  <c r="E5" i="71"/>
  <c r="E6"/>
  <c r="E7"/>
  <c r="E8"/>
  <c r="E9"/>
  <c r="E10"/>
  <c r="E11"/>
  <c r="B12"/>
  <c r="C12"/>
  <c r="D12"/>
  <c r="E12"/>
  <c r="B14"/>
  <c r="C14"/>
  <c r="D14"/>
  <c r="E15"/>
  <c r="E16"/>
  <c r="E17"/>
  <c r="E18"/>
  <c r="E19"/>
  <c r="E20"/>
  <c r="E21"/>
  <c r="B22"/>
  <c r="C22"/>
  <c r="D22"/>
  <c r="E22"/>
  <c r="B27"/>
  <c r="C27"/>
  <c r="D27"/>
  <c r="E28"/>
  <c r="E29"/>
  <c r="E30"/>
  <c r="E31"/>
  <c r="E32"/>
  <c r="E33"/>
  <c r="E34"/>
  <c r="B35"/>
  <c r="C35"/>
  <c r="D35"/>
  <c r="E35"/>
  <c r="B37"/>
  <c r="C37"/>
  <c r="D37"/>
  <c r="E38"/>
  <c r="E39"/>
  <c r="E40"/>
  <c r="E41"/>
  <c r="E42"/>
  <c r="E43"/>
  <c r="E44"/>
  <c r="B45"/>
  <c r="C45"/>
  <c r="D45"/>
  <c r="E45"/>
  <c r="D52"/>
  <c r="F5" i="64"/>
  <c r="G5"/>
  <c r="H5"/>
  <c r="I5"/>
  <c r="J5"/>
  <c r="K5"/>
  <c r="L5"/>
  <c r="O5"/>
  <c r="R5"/>
  <c r="C6"/>
  <c r="F6"/>
  <c r="G6"/>
  <c r="H6"/>
  <c r="I6"/>
  <c r="J6"/>
  <c r="K6"/>
  <c r="L6"/>
  <c r="O6"/>
  <c r="P6"/>
  <c r="R6"/>
  <c r="O7"/>
  <c r="F8"/>
  <c r="G8"/>
  <c r="H8"/>
  <c r="I8"/>
  <c r="J8"/>
  <c r="K8"/>
  <c r="L8"/>
  <c r="O8"/>
  <c r="R8"/>
  <c r="O9"/>
  <c r="F10"/>
  <c r="G10"/>
  <c r="H10"/>
  <c r="I10"/>
  <c r="J10"/>
  <c r="K10"/>
  <c r="L10"/>
  <c r="O10"/>
  <c r="R10"/>
  <c r="F11"/>
  <c r="G11"/>
  <c r="H11"/>
  <c r="I11"/>
  <c r="J11"/>
  <c r="K11"/>
  <c r="L11"/>
  <c r="O11"/>
  <c r="R11"/>
  <c r="C12"/>
  <c r="F12"/>
  <c r="G12"/>
  <c r="H12"/>
  <c r="I12"/>
  <c r="J12"/>
  <c r="K12"/>
  <c r="L12"/>
  <c r="O12"/>
  <c r="P12"/>
  <c r="R12"/>
  <c r="F13"/>
  <c r="G13"/>
  <c r="H13"/>
  <c r="I13"/>
  <c r="J13"/>
  <c r="K13"/>
  <c r="L13"/>
  <c r="O13"/>
  <c r="R13"/>
  <c r="C14"/>
  <c r="F14"/>
  <c r="G14"/>
  <c r="H14"/>
  <c r="I14"/>
  <c r="J14"/>
  <c r="K14"/>
  <c r="L14"/>
  <c r="O14"/>
  <c r="P14"/>
  <c r="H15"/>
  <c r="I15"/>
  <c r="J15"/>
  <c r="K15"/>
  <c r="L15"/>
  <c r="O15"/>
  <c r="P15"/>
  <c r="C16"/>
  <c r="H16"/>
  <c r="I16"/>
  <c r="J16"/>
  <c r="K16"/>
  <c r="L16"/>
  <c r="O16"/>
  <c r="P16"/>
  <c r="C27"/>
  <c r="E27"/>
  <c r="F27"/>
  <c r="G27"/>
  <c r="H27"/>
  <c r="I27"/>
  <c r="J27"/>
  <c r="K27"/>
  <c r="L27"/>
  <c r="M27"/>
  <c r="N27"/>
  <c r="O27"/>
  <c r="P27"/>
  <c r="Q27"/>
  <c r="R27"/>
  <c r="C9" i="63"/>
  <c r="F9"/>
  <c r="G9"/>
  <c r="H9"/>
  <c r="I9"/>
  <c r="J9"/>
  <c r="K9"/>
  <c r="L9"/>
  <c r="O9"/>
  <c r="P9"/>
  <c r="C10"/>
  <c r="F10"/>
  <c r="G10"/>
  <c r="H10"/>
  <c r="I10"/>
  <c r="J10"/>
  <c r="K10"/>
  <c r="L10"/>
  <c r="O10"/>
  <c r="R10"/>
  <c r="C11"/>
  <c r="H11"/>
  <c r="I11"/>
  <c r="J11"/>
  <c r="K11"/>
  <c r="L11"/>
  <c r="O11"/>
  <c r="P11"/>
  <c r="C12"/>
  <c r="F12"/>
  <c r="G12"/>
  <c r="H12"/>
  <c r="I12"/>
  <c r="J12"/>
  <c r="K12"/>
  <c r="L12"/>
  <c r="O12"/>
  <c r="P12"/>
  <c r="Q12"/>
  <c r="R12"/>
  <c r="S12"/>
  <c r="C14"/>
  <c r="F14"/>
  <c r="G14"/>
  <c r="H14"/>
  <c r="I14"/>
  <c r="J14"/>
  <c r="K14"/>
  <c r="L14"/>
  <c r="O14"/>
  <c r="C15"/>
  <c r="F15"/>
  <c r="G15"/>
  <c r="H15"/>
  <c r="I15"/>
  <c r="J15"/>
  <c r="K15"/>
  <c r="L15"/>
  <c r="O15"/>
  <c r="P15"/>
  <c r="C16"/>
  <c r="F16"/>
  <c r="G16"/>
  <c r="H16"/>
  <c r="I16"/>
  <c r="J16"/>
  <c r="K16"/>
  <c r="L16"/>
  <c r="O16"/>
  <c r="P16"/>
  <c r="C17"/>
  <c r="F17"/>
  <c r="G17"/>
  <c r="H17"/>
  <c r="I17"/>
  <c r="J17"/>
  <c r="K17"/>
  <c r="L17"/>
  <c r="O17"/>
  <c r="P17"/>
  <c r="C18"/>
  <c r="F18"/>
  <c r="G18"/>
  <c r="H18"/>
  <c r="I18"/>
  <c r="J18"/>
  <c r="K18"/>
  <c r="L18"/>
  <c r="O18"/>
  <c r="P18"/>
  <c r="C19"/>
  <c r="F19"/>
  <c r="G19"/>
  <c r="H19"/>
  <c r="I19"/>
  <c r="J19"/>
  <c r="K19"/>
  <c r="L19"/>
  <c r="O19"/>
  <c r="P19"/>
  <c r="C20"/>
  <c r="F20"/>
  <c r="G20"/>
  <c r="H20"/>
  <c r="I20"/>
  <c r="J20"/>
  <c r="K20"/>
  <c r="L20"/>
  <c r="O20"/>
  <c r="P20"/>
  <c r="C21"/>
  <c r="F21"/>
  <c r="G21"/>
  <c r="H21"/>
  <c r="I21"/>
  <c r="J21"/>
  <c r="K21"/>
  <c r="L21"/>
  <c r="O21"/>
  <c r="R21"/>
  <c r="C22"/>
  <c r="F22"/>
  <c r="G22"/>
  <c r="H22"/>
  <c r="I22"/>
  <c r="J22"/>
  <c r="K22"/>
  <c r="L22"/>
  <c r="O22"/>
  <c r="P22"/>
  <c r="R22"/>
  <c r="C23"/>
  <c r="F23"/>
  <c r="G23"/>
  <c r="H23"/>
  <c r="I23"/>
  <c r="J23"/>
  <c r="K23"/>
  <c r="L23"/>
  <c r="O23"/>
  <c r="R23"/>
  <c r="C24"/>
  <c r="F24"/>
  <c r="G24"/>
  <c r="H24"/>
  <c r="I24"/>
  <c r="J24"/>
  <c r="K24"/>
  <c r="L24"/>
  <c r="O24"/>
  <c r="R24"/>
  <c r="C25"/>
  <c r="F25"/>
  <c r="G25"/>
  <c r="H25"/>
  <c r="I25"/>
  <c r="J25"/>
  <c r="K25"/>
  <c r="L25"/>
  <c r="O25"/>
  <c r="P25"/>
  <c r="C26"/>
  <c r="F26"/>
  <c r="G26"/>
  <c r="H26"/>
  <c r="I26"/>
  <c r="J26"/>
  <c r="K26"/>
  <c r="L26"/>
  <c r="O26"/>
  <c r="R26"/>
  <c r="C27"/>
  <c r="F27"/>
  <c r="G27"/>
  <c r="H27"/>
  <c r="I27"/>
  <c r="J27"/>
  <c r="K27"/>
  <c r="L27"/>
  <c r="O27"/>
  <c r="P27"/>
  <c r="C28"/>
  <c r="F28"/>
  <c r="G28"/>
  <c r="H28"/>
  <c r="I28"/>
  <c r="J28"/>
  <c r="K28"/>
  <c r="L28"/>
  <c r="O28"/>
  <c r="P28"/>
  <c r="R28"/>
  <c r="C29"/>
  <c r="H29"/>
  <c r="I29"/>
  <c r="J29"/>
  <c r="K29"/>
  <c r="L29"/>
  <c r="O29"/>
  <c r="P29"/>
  <c r="R29"/>
  <c r="C30"/>
  <c r="H30"/>
  <c r="I30"/>
  <c r="J30"/>
  <c r="K30"/>
  <c r="L30"/>
  <c r="O30"/>
  <c r="P30"/>
  <c r="O31"/>
  <c r="C32"/>
  <c r="F32"/>
  <c r="G32"/>
  <c r="H32"/>
  <c r="I32"/>
  <c r="J32"/>
  <c r="K32"/>
  <c r="L32"/>
  <c r="O32"/>
  <c r="P32"/>
  <c r="Q32"/>
  <c r="R32"/>
  <c r="F34"/>
  <c r="G34"/>
  <c r="H34"/>
  <c r="I34"/>
  <c r="J34"/>
  <c r="K34"/>
  <c r="O34"/>
  <c r="O36"/>
  <c r="C35"/>
  <c r="F35"/>
  <c r="G35"/>
  <c r="H35"/>
  <c r="I35"/>
  <c r="J35"/>
  <c r="K35"/>
  <c r="L35"/>
  <c r="O35"/>
  <c r="P35"/>
  <c r="C36"/>
  <c r="D36"/>
  <c r="E36"/>
  <c r="F36"/>
  <c r="G36"/>
  <c r="H36"/>
  <c r="I36"/>
  <c r="J36"/>
  <c r="K36"/>
  <c r="L36"/>
  <c r="P36"/>
  <c r="Q36"/>
  <c r="R36"/>
  <c r="C38"/>
  <c r="F38"/>
  <c r="G38"/>
  <c r="H38"/>
  <c r="I38"/>
  <c r="J38"/>
  <c r="K38"/>
  <c r="L38"/>
  <c r="O38"/>
  <c r="Q38"/>
  <c r="C39"/>
  <c r="F39"/>
  <c r="G39"/>
  <c r="H39"/>
  <c r="I39"/>
  <c r="J39"/>
  <c r="K39"/>
  <c r="L39"/>
  <c r="O39"/>
  <c r="P39"/>
  <c r="F40"/>
  <c r="G40"/>
  <c r="H40"/>
  <c r="I40"/>
  <c r="J40"/>
  <c r="K40"/>
  <c r="O40"/>
  <c r="O57"/>
  <c r="F41"/>
  <c r="G41"/>
  <c r="H41"/>
  <c r="I41"/>
  <c r="J41"/>
  <c r="K41"/>
  <c r="O41"/>
  <c r="C42"/>
  <c r="F42"/>
  <c r="G42"/>
  <c r="H42"/>
  <c r="I42"/>
  <c r="J42"/>
  <c r="K42"/>
  <c r="L42"/>
  <c r="O42"/>
  <c r="P42"/>
  <c r="C43"/>
  <c r="F43"/>
  <c r="G43"/>
  <c r="H43"/>
  <c r="I43"/>
  <c r="J43"/>
  <c r="K43"/>
  <c r="L43"/>
  <c r="O43"/>
  <c r="R43"/>
  <c r="C44"/>
  <c r="F44"/>
  <c r="G44"/>
  <c r="H44"/>
  <c r="I44"/>
  <c r="J44"/>
  <c r="K44"/>
  <c r="L44"/>
  <c r="O44"/>
  <c r="R44"/>
  <c r="C45"/>
  <c r="F45"/>
  <c r="G45"/>
  <c r="H45"/>
  <c r="I45"/>
  <c r="J45"/>
  <c r="K45"/>
  <c r="L45"/>
  <c r="O45"/>
  <c r="R45"/>
  <c r="C46"/>
  <c r="F46"/>
  <c r="G46"/>
  <c r="H46"/>
  <c r="I46"/>
  <c r="J46"/>
  <c r="K46"/>
  <c r="L46"/>
  <c r="O46"/>
  <c r="R46"/>
  <c r="C47"/>
  <c r="F47"/>
  <c r="G47"/>
  <c r="H47"/>
  <c r="I47"/>
  <c r="J47"/>
  <c r="K47"/>
  <c r="L47"/>
  <c r="O47"/>
  <c r="P47"/>
  <c r="C48"/>
  <c r="F48"/>
  <c r="G48"/>
  <c r="H48"/>
  <c r="I48"/>
  <c r="J48"/>
  <c r="K48"/>
  <c r="L48"/>
  <c r="O48"/>
  <c r="P48"/>
  <c r="F49"/>
  <c r="G49"/>
  <c r="H49"/>
  <c r="I49"/>
  <c r="J49"/>
  <c r="K49"/>
  <c r="C50"/>
  <c r="F50"/>
  <c r="G50"/>
  <c r="H50"/>
  <c r="I50"/>
  <c r="J50"/>
  <c r="K50"/>
  <c r="L50"/>
  <c r="O50"/>
  <c r="C51"/>
  <c r="F51"/>
  <c r="G51"/>
  <c r="H51"/>
  <c r="I51"/>
  <c r="J51"/>
  <c r="K51"/>
  <c r="L51"/>
  <c r="O51"/>
  <c r="P51"/>
  <c r="C52"/>
  <c r="F52"/>
  <c r="G52"/>
  <c r="H52"/>
  <c r="I52"/>
  <c r="J52"/>
  <c r="K52"/>
  <c r="L52"/>
  <c r="O52"/>
  <c r="R52"/>
  <c r="C53"/>
  <c r="F53"/>
  <c r="G53"/>
  <c r="H53"/>
  <c r="I53"/>
  <c r="J53"/>
  <c r="K53"/>
  <c r="L53"/>
  <c r="O53"/>
  <c r="P53"/>
  <c r="C54"/>
  <c r="H54"/>
  <c r="I54"/>
  <c r="J54"/>
  <c r="K54"/>
  <c r="L54"/>
  <c r="O54"/>
  <c r="P54"/>
  <c r="O55"/>
  <c r="R55"/>
  <c r="C56"/>
  <c r="K56"/>
  <c r="L56"/>
  <c r="O56"/>
  <c r="P56"/>
  <c r="C57"/>
  <c r="C66"/>
  <c r="F57"/>
  <c r="G57"/>
  <c r="H57"/>
  <c r="I57"/>
  <c r="J57"/>
  <c r="K57"/>
  <c r="L57"/>
  <c r="M57"/>
  <c r="P57"/>
  <c r="P66"/>
  <c r="Q57"/>
  <c r="R57"/>
  <c r="S57"/>
  <c r="O59"/>
  <c r="C60"/>
  <c r="E60"/>
  <c r="F60"/>
  <c r="G60"/>
  <c r="H60"/>
  <c r="I60"/>
  <c r="J60"/>
  <c r="K60"/>
  <c r="L60"/>
  <c r="M60"/>
  <c r="O60"/>
  <c r="P60"/>
  <c r="Q60"/>
  <c r="R60"/>
  <c r="E66"/>
  <c r="F66"/>
  <c r="G66"/>
  <c r="H66"/>
  <c r="I66"/>
  <c r="J66"/>
  <c r="K66"/>
  <c r="M66"/>
  <c r="N66"/>
  <c r="Q66"/>
  <c r="R66"/>
  <c r="S66"/>
  <c r="C8" i="78"/>
  <c r="C11" i="77"/>
  <c r="D11"/>
  <c r="E11"/>
  <c r="F11"/>
  <c r="G11"/>
  <c r="H11"/>
  <c r="I11"/>
  <c r="F6" i="62"/>
  <c r="F7"/>
  <c r="F8"/>
  <c r="F9"/>
  <c r="F10"/>
  <c r="C11"/>
  <c r="D11"/>
  <c r="E11"/>
  <c r="F11"/>
  <c r="E7" i="61"/>
  <c r="F7"/>
  <c r="G7"/>
  <c r="H7"/>
  <c r="I7"/>
  <c r="L7"/>
  <c r="M7"/>
  <c r="N7"/>
  <c r="O7"/>
  <c r="P7"/>
  <c r="Q7"/>
  <c r="M9"/>
  <c r="N9"/>
  <c r="O9"/>
  <c r="P9"/>
  <c r="Q9"/>
  <c r="Q11"/>
  <c r="C18"/>
  <c r="D18"/>
  <c r="E18"/>
  <c r="F18"/>
  <c r="G18"/>
  <c r="H18"/>
  <c r="I18"/>
  <c r="I19"/>
  <c r="I31"/>
  <c r="I32"/>
  <c r="K18"/>
  <c r="L18"/>
  <c r="M18"/>
  <c r="N18"/>
  <c r="O18"/>
  <c r="P18"/>
  <c r="Q18"/>
  <c r="C19"/>
  <c r="D19"/>
  <c r="E19"/>
  <c r="F19"/>
  <c r="G19"/>
  <c r="H19"/>
  <c r="C20"/>
  <c r="D20"/>
  <c r="E20"/>
  <c r="F20"/>
  <c r="G20"/>
  <c r="H20"/>
  <c r="C25"/>
  <c r="D25"/>
  <c r="E25"/>
  <c r="F25"/>
  <c r="G25"/>
  <c r="H25"/>
  <c r="I25"/>
  <c r="C31"/>
  <c r="D31"/>
  <c r="E31"/>
  <c r="F31"/>
  <c r="G31"/>
  <c r="H31"/>
  <c r="K31"/>
  <c r="L31"/>
  <c r="M31"/>
  <c r="N31"/>
  <c r="O31"/>
  <c r="P31"/>
  <c r="Q31"/>
  <c r="C32"/>
  <c r="D32"/>
  <c r="E32"/>
  <c r="F32"/>
  <c r="G32"/>
  <c r="H32"/>
  <c r="K32"/>
  <c r="L32"/>
  <c r="M32"/>
  <c r="N32"/>
  <c r="O32"/>
  <c r="P32"/>
  <c r="Q32"/>
  <c r="D7" i="73"/>
  <c r="E7"/>
  <c r="F7"/>
  <c r="G7"/>
  <c r="H7"/>
  <c r="I7"/>
  <c r="L7"/>
  <c r="M7"/>
  <c r="N7"/>
  <c r="O7"/>
  <c r="P7"/>
  <c r="Q7"/>
  <c r="D8"/>
  <c r="E8"/>
  <c r="F8"/>
  <c r="G8"/>
  <c r="H8"/>
  <c r="I8"/>
  <c r="L8"/>
  <c r="M8"/>
  <c r="N8"/>
  <c r="O8"/>
  <c r="P8"/>
  <c r="Q8"/>
  <c r="L9"/>
  <c r="M9"/>
  <c r="N9"/>
  <c r="O9"/>
  <c r="P9"/>
  <c r="Q9"/>
  <c r="H10"/>
  <c r="E11"/>
  <c r="F11"/>
  <c r="G11"/>
  <c r="H11"/>
  <c r="K11"/>
  <c r="L11"/>
  <c r="M11"/>
  <c r="N11"/>
  <c r="O11"/>
  <c r="P11"/>
  <c r="Q11"/>
  <c r="L12"/>
  <c r="M12"/>
  <c r="N12"/>
  <c r="O12"/>
  <c r="P12"/>
  <c r="C19"/>
  <c r="D19"/>
  <c r="E19"/>
  <c r="F19"/>
  <c r="G19"/>
  <c r="H19"/>
  <c r="I19"/>
  <c r="K19"/>
  <c r="L19"/>
  <c r="M19"/>
  <c r="N19"/>
  <c r="O19"/>
  <c r="P19"/>
  <c r="Q19"/>
  <c r="C20"/>
  <c r="D20"/>
  <c r="D30" s="1"/>
  <c r="D31" s="1"/>
  <c r="E20"/>
  <c r="F20"/>
  <c r="G20"/>
  <c r="H20"/>
  <c r="D21"/>
  <c r="E21"/>
  <c r="F21"/>
  <c r="G21"/>
  <c r="H21"/>
  <c r="C25"/>
  <c r="D25"/>
  <c r="E25"/>
  <c r="F25"/>
  <c r="G25"/>
  <c r="H25"/>
  <c r="I25"/>
  <c r="I21"/>
  <c r="I20"/>
  <c r="I30"/>
  <c r="I31"/>
  <c r="L28"/>
  <c r="M28"/>
  <c r="N28"/>
  <c r="O28"/>
  <c r="P28"/>
  <c r="M29"/>
  <c r="N29"/>
  <c r="O29"/>
  <c r="P29"/>
  <c r="C30"/>
  <c r="E30"/>
  <c r="F30"/>
  <c r="G30"/>
  <c r="H30"/>
  <c r="K30"/>
  <c r="L30"/>
  <c r="M30"/>
  <c r="N30"/>
  <c r="O30"/>
  <c r="P30"/>
  <c r="Q31"/>
  <c r="C31"/>
  <c r="E31"/>
  <c r="F31"/>
  <c r="G31"/>
  <c r="H31"/>
  <c r="K31"/>
  <c r="L31"/>
  <c r="M31"/>
  <c r="N31"/>
  <c r="O31"/>
  <c r="P31"/>
  <c r="C9" i="118"/>
  <c r="D9"/>
  <c r="E9"/>
  <c r="F9"/>
  <c r="G9"/>
  <c r="H9"/>
  <c r="I9"/>
  <c r="C16"/>
  <c r="D16"/>
  <c r="E16"/>
  <c r="F16"/>
  <c r="G16"/>
  <c r="H16"/>
  <c r="I16"/>
  <c r="C23"/>
  <c r="D23"/>
  <c r="E23"/>
  <c r="F23"/>
  <c r="G23"/>
  <c r="H23"/>
  <c r="I23"/>
  <c r="C30"/>
  <c r="D30"/>
  <c r="E30"/>
  <c r="F30"/>
  <c r="G30"/>
  <c r="H30"/>
  <c r="I30"/>
  <c r="C31"/>
  <c r="D31"/>
  <c r="E31"/>
  <c r="F31"/>
  <c r="G31"/>
  <c r="H31"/>
  <c r="I31"/>
  <c r="C38"/>
  <c r="D38"/>
  <c r="E38"/>
  <c r="F38"/>
  <c r="G38"/>
  <c r="H38"/>
  <c r="I38"/>
  <c r="C50"/>
  <c r="D50"/>
  <c r="E50"/>
  <c r="F50"/>
  <c r="G50"/>
  <c r="H50"/>
  <c r="I50"/>
  <c r="C56"/>
  <c r="D56"/>
  <c r="E56"/>
  <c r="F56"/>
  <c r="G56"/>
  <c r="H56"/>
  <c r="I56"/>
  <c r="C61"/>
  <c r="D61"/>
  <c r="E61"/>
  <c r="F61"/>
  <c r="G61"/>
  <c r="H61"/>
  <c r="I61"/>
  <c r="C66"/>
  <c r="D66"/>
  <c r="E66"/>
  <c r="F66"/>
  <c r="G66"/>
  <c r="H66"/>
  <c r="I66"/>
  <c r="C67"/>
  <c r="D67"/>
  <c r="E67"/>
  <c r="F67"/>
  <c r="G67"/>
  <c r="H67"/>
  <c r="I67"/>
  <c r="C71"/>
  <c r="D71"/>
  <c r="E71"/>
  <c r="F71"/>
  <c r="G71"/>
  <c r="H71"/>
  <c r="I71"/>
  <c r="C76"/>
  <c r="D76"/>
  <c r="E76"/>
  <c r="F76"/>
  <c r="G76"/>
  <c r="H76"/>
  <c r="I76"/>
  <c r="C79"/>
  <c r="D79"/>
  <c r="E79"/>
  <c r="F79"/>
  <c r="G79"/>
  <c r="H79"/>
  <c r="I79"/>
  <c r="C83"/>
  <c r="D83"/>
  <c r="E83"/>
  <c r="F83"/>
  <c r="G83"/>
  <c r="H83"/>
  <c r="I83"/>
  <c r="C90"/>
  <c r="D90"/>
  <c r="E90"/>
  <c r="F90"/>
  <c r="G90"/>
  <c r="H90"/>
  <c r="I90"/>
  <c r="C91"/>
  <c r="D91"/>
  <c r="E91"/>
  <c r="F91"/>
  <c r="G91"/>
  <c r="H91"/>
  <c r="I91"/>
  <c r="C95"/>
  <c r="C97"/>
  <c r="D97"/>
  <c r="E97"/>
  <c r="F97"/>
  <c r="G97"/>
  <c r="H97"/>
  <c r="I97"/>
  <c r="C118"/>
  <c r="D118"/>
  <c r="E118"/>
  <c r="F118"/>
  <c r="G118"/>
  <c r="H118"/>
  <c r="I118"/>
  <c r="C132"/>
  <c r="D132"/>
  <c r="E132"/>
  <c r="F132"/>
  <c r="G132"/>
  <c r="H132"/>
  <c r="I132"/>
  <c r="C133"/>
  <c r="D133"/>
  <c r="E133"/>
  <c r="F133"/>
  <c r="G133"/>
  <c r="H133"/>
  <c r="I133"/>
  <c r="C137"/>
  <c r="D137"/>
  <c r="E137"/>
  <c r="F137"/>
  <c r="G137"/>
  <c r="H137"/>
  <c r="I137"/>
  <c r="C144"/>
  <c r="D144"/>
  <c r="E144"/>
  <c r="F144"/>
  <c r="G144"/>
  <c r="H144"/>
  <c r="I144"/>
  <c r="C149"/>
  <c r="D149"/>
  <c r="E149"/>
  <c r="F149"/>
  <c r="G149"/>
  <c r="H149"/>
  <c r="I149"/>
  <c r="C157"/>
  <c r="D157"/>
  <c r="E157"/>
  <c r="F157"/>
  <c r="G157"/>
  <c r="H157"/>
  <c r="I157"/>
  <c r="C158"/>
  <c r="D158"/>
  <c r="E158"/>
  <c r="F158"/>
  <c r="G158"/>
  <c r="H158"/>
  <c r="I158"/>
  <c r="C162"/>
  <c r="D162"/>
  <c r="E162"/>
  <c r="F162"/>
  <c r="G162"/>
  <c r="H162"/>
  <c r="I162"/>
  <c r="C163"/>
  <c r="D163"/>
  <c r="E163"/>
  <c r="F163"/>
  <c r="G163"/>
  <c r="H163"/>
  <c r="I163"/>
  <c r="C10" i="117"/>
  <c r="D10"/>
  <c r="E10"/>
  <c r="F10"/>
  <c r="G10"/>
  <c r="H10"/>
  <c r="I10"/>
  <c r="C17"/>
  <c r="D17"/>
  <c r="E17"/>
  <c r="F17"/>
  <c r="G17"/>
  <c r="H17"/>
  <c r="I17"/>
  <c r="C24"/>
  <c r="D24"/>
  <c r="E24"/>
  <c r="F24"/>
  <c r="G24"/>
  <c r="H24"/>
  <c r="I24"/>
  <c r="C31"/>
  <c r="D31"/>
  <c r="E31"/>
  <c r="F31"/>
  <c r="G31"/>
  <c r="H31"/>
  <c r="I31"/>
  <c r="C32"/>
  <c r="D32"/>
  <c r="E32"/>
  <c r="F32"/>
  <c r="G32"/>
  <c r="H32"/>
  <c r="I32"/>
  <c r="C35"/>
  <c r="D35"/>
  <c r="E35"/>
  <c r="F35"/>
  <c r="G35"/>
  <c r="H35"/>
  <c r="I35"/>
  <c r="C39"/>
  <c r="D39"/>
  <c r="E39"/>
  <c r="F39"/>
  <c r="G39"/>
  <c r="H39"/>
  <c r="I39"/>
  <c r="C41"/>
  <c r="D41"/>
  <c r="E41"/>
  <c r="F41"/>
  <c r="C45"/>
  <c r="D45"/>
  <c r="E45"/>
  <c r="F45"/>
  <c r="C51"/>
  <c r="D51"/>
  <c r="E51"/>
  <c r="F51"/>
  <c r="G51"/>
  <c r="H51"/>
  <c r="I51"/>
  <c r="C57"/>
  <c r="D57"/>
  <c r="E57"/>
  <c r="F57"/>
  <c r="G57"/>
  <c r="H57"/>
  <c r="I57"/>
  <c r="C62"/>
  <c r="D62"/>
  <c r="E62"/>
  <c r="F62"/>
  <c r="G62"/>
  <c r="H62"/>
  <c r="I62"/>
  <c r="C67"/>
  <c r="D67"/>
  <c r="E67"/>
  <c r="F67"/>
  <c r="G67"/>
  <c r="H67"/>
  <c r="I67"/>
  <c r="C68"/>
  <c r="D68"/>
  <c r="E68"/>
  <c r="F68"/>
  <c r="G68"/>
  <c r="H68"/>
  <c r="I68"/>
  <c r="C72"/>
  <c r="D72"/>
  <c r="E72"/>
  <c r="F72"/>
  <c r="G72"/>
  <c r="H72"/>
  <c r="I72"/>
  <c r="C77"/>
  <c r="D77"/>
  <c r="E77"/>
  <c r="F77"/>
  <c r="G77"/>
  <c r="H77"/>
  <c r="I77"/>
  <c r="C80"/>
  <c r="D80"/>
  <c r="E80"/>
  <c r="F80"/>
  <c r="G80"/>
  <c r="H80"/>
  <c r="I80"/>
  <c r="C84"/>
  <c r="D84"/>
  <c r="E84"/>
  <c r="F84"/>
  <c r="G84"/>
  <c r="H84"/>
  <c r="I84"/>
  <c r="C91"/>
  <c r="D91"/>
  <c r="E91"/>
  <c r="F91"/>
  <c r="G91"/>
  <c r="H91"/>
  <c r="I91"/>
  <c r="C92"/>
  <c r="D92"/>
  <c r="E92"/>
  <c r="F92"/>
  <c r="G92"/>
  <c r="H92"/>
  <c r="I92"/>
  <c r="C96"/>
  <c r="D96"/>
  <c r="E96"/>
  <c r="F96"/>
  <c r="G96"/>
  <c r="C98"/>
  <c r="D98"/>
  <c r="E98"/>
  <c r="F98"/>
  <c r="G98"/>
  <c r="H98"/>
  <c r="I98"/>
  <c r="E99"/>
  <c r="F99"/>
  <c r="E100"/>
  <c r="F100"/>
  <c r="E101"/>
  <c r="F101"/>
  <c r="C103"/>
  <c r="D103"/>
  <c r="E103"/>
  <c r="F103"/>
  <c r="G103"/>
  <c r="H103"/>
  <c r="I103"/>
  <c r="C116"/>
  <c r="D116"/>
  <c r="E116"/>
  <c r="F116"/>
  <c r="G116"/>
  <c r="H116"/>
  <c r="I116"/>
  <c r="C119"/>
  <c r="D119"/>
  <c r="E119"/>
  <c r="F119"/>
  <c r="G119"/>
  <c r="H119"/>
  <c r="I119"/>
  <c r="E120"/>
  <c r="F120"/>
  <c r="G120"/>
  <c r="H120"/>
  <c r="I120"/>
  <c r="E122"/>
  <c r="F122"/>
  <c r="G122"/>
  <c r="C124"/>
  <c r="D124"/>
  <c r="E124"/>
  <c r="F124"/>
  <c r="G124"/>
  <c r="H124"/>
  <c r="I124"/>
  <c r="C131"/>
  <c r="D131"/>
  <c r="E131"/>
  <c r="F131"/>
  <c r="G131"/>
  <c r="H131"/>
  <c r="I131"/>
  <c r="C133"/>
  <c r="D133"/>
  <c r="E133"/>
  <c r="F133"/>
  <c r="G133"/>
  <c r="H133"/>
  <c r="I133"/>
  <c r="C134"/>
  <c r="D134"/>
  <c r="E134"/>
  <c r="F134"/>
  <c r="G134"/>
  <c r="H134"/>
  <c r="I134"/>
  <c r="C138"/>
  <c r="D138"/>
  <c r="E138"/>
  <c r="F138"/>
  <c r="G138"/>
  <c r="H138"/>
  <c r="I138"/>
  <c r="C145"/>
  <c r="D145"/>
  <c r="E145"/>
  <c r="F145"/>
  <c r="G145"/>
  <c r="H145"/>
  <c r="I145"/>
  <c r="C150"/>
  <c r="D150"/>
  <c r="E150"/>
  <c r="F150"/>
  <c r="G150"/>
  <c r="H150"/>
  <c r="I150"/>
  <c r="C158"/>
  <c r="D158"/>
  <c r="E158"/>
  <c r="F158"/>
  <c r="G158"/>
  <c r="H158"/>
  <c r="I158"/>
  <c r="C159"/>
  <c r="D159"/>
  <c r="E159"/>
  <c r="F159"/>
  <c r="G159"/>
  <c r="H159"/>
  <c r="I159"/>
  <c r="C14" i="116"/>
  <c r="D14"/>
  <c r="E14"/>
  <c r="F14"/>
  <c r="G14"/>
  <c r="H14"/>
  <c r="I14"/>
  <c r="D18"/>
  <c r="H18"/>
  <c r="D19"/>
  <c r="C21"/>
  <c r="D21"/>
  <c r="E21"/>
  <c r="F21"/>
  <c r="G21"/>
  <c r="H21"/>
  <c r="I21"/>
  <c r="C26"/>
  <c r="D26"/>
  <c r="E26"/>
  <c r="F26"/>
  <c r="G26"/>
  <c r="H26"/>
  <c r="C28"/>
  <c r="D28"/>
  <c r="E28"/>
  <c r="F28"/>
  <c r="G28"/>
  <c r="H28"/>
  <c r="I28"/>
  <c r="H29"/>
  <c r="I29"/>
  <c r="E33"/>
  <c r="F33"/>
  <c r="G33"/>
  <c r="H33"/>
  <c r="C35"/>
  <c r="D35"/>
  <c r="E35"/>
  <c r="F35"/>
  <c r="G35"/>
  <c r="H35"/>
  <c r="C36"/>
  <c r="D36"/>
  <c r="E36"/>
  <c r="F36"/>
  <c r="G36"/>
  <c r="H36"/>
  <c r="I36"/>
  <c r="I35"/>
  <c r="E42"/>
  <c r="F42"/>
  <c r="G42"/>
  <c r="H42"/>
  <c r="C43"/>
  <c r="D43"/>
  <c r="E43"/>
  <c r="F43"/>
  <c r="G43"/>
  <c r="H43"/>
  <c r="I43"/>
  <c r="C45"/>
  <c r="D45"/>
  <c r="E45"/>
  <c r="F45"/>
  <c r="G45"/>
  <c r="H45"/>
  <c r="C46"/>
  <c r="D46"/>
  <c r="E46"/>
  <c r="F46"/>
  <c r="G46"/>
  <c r="H46"/>
  <c r="E48"/>
  <c r="F48"/>
  <c r="G48"/>
  <c r="H48"/>
  <c r="C49"/>
  <c r="D49"/>
  <c r="E49"/>
  <c r="F49"/>
  <c r="G49"/>
  <c r="H49"/>
  <c r="E50"/>
  <c r="F50"/>
  <c r="G50"/>
  <c r="H50"/>
  <c r="I50"/>
  <c r="C51"/>
  <c r="D51"/>
  <c r="E51"/>
  <c r="F51"/>
  <c r="G51"/>
  <c r="H51"/>
  <c r="C54"/>
  <c r="D54"/>
  <c r="E54"/>
  <c r="F54"/>
  <c r="G54"/>
  <c r="H54"/>
  <c r="C55"/>
  <c r="D55"/>
  <c r="E55"/>
  <c r="F55"/>
  <c r="G55"/>
  <c r="H55"/>
  <c r="I55"/>
  <c r="C61"/>
  <c r="D61"/>
  <c r="E61"/>
  <c r="F61"/>
  <c r="G61"/>
  <c r="H61"/>
  <c r="I61"/>
  <c r="C66"/>
  <c r="D66"/>
  <c r="E66"/>
  <c r="F66"/>
  <c r="G66"/>
  <c r="H66"/>
  <c r="I66"/>
  <c r="E68"/>
  <c r="F68"/>
  <c r="G68"/>
  <c r="H68"/>
  <c r="C71"/>
  <c r="D71"/>
  <c r="E71"/>
  <c r="F71"/>
  <c r="G71"/>
  <c r="H71"/>
  <c r="C72"/>
  <c r="D72"/>
  <c r="E72"/>
  <c r="F72"/>
  <c r="G72"/>
  <c r="H72"/>
  <c r="I72"/>
  <c r="C76"/>
  <c r="D76"/>
  <c r="E76"/>
  <c r="F76"/>
  <c r="G76"/>
  <c r="H76"/>
  <c r="I76"/>
  <c r="I95"/>
  <c r="C81"/>
  <c r="D81"/>
  <c r="E81"/>
  <c r="F81"/>
  <c r="G81"/>
  <c r="H81"/>
  <c r="I81"/>
  <c r="C82"/>
  <c r="D82"/>
  <c r="E82"/>
  <c r="F82"/>
  <c r="G82"/>
  <c r="H82"/>
  <c r="I82"/>
  <c r="C84"/>
  <c r="D84"/>
  <c r="E84"/>
  <c r="F84"/>
  <c r="G84"/>
  <c r="H84"/>
  <c r="I84"/>
  <c r="E85"/>
  <c r="F85"/>
  <c r="G85"/>
  <c r="H85"/>
  <c r="C88"/>
  <c r="D88"/>
  <c r="E88"/>
  <c r="F88"/>
  <c r="G88"/>
  <c r="H88"/>
  <c r="I88"/>
  <c r="C95"/>
  <c r="D95"/>
  <c r="E95"/>
  <c r="F95"/>
  <c r="G95"/>
  <c r="H95"/>
  <c r="C96"/>
  <c r="D96"/>
  <c r="E96"/>
  <c r="F96"/>
  <c r="G96"/>
  <c r="H96"/>
  <c r="C102"/>
  <c r="D102"/>
  <c r="E102"/>
  <c r="F102"/>
  <c r="G102"/>
  <c r="H102"/>
  <c r="C103"/>
  <c r="D103"/>
  <c r="E103"/>
  <c r="F103"/>
  <c r="G103"/>
  <c r="H103"/>
  <c r="C104"/>
  <c r="D104"/>
  <c r="E104"/>
  <c r="F104"/>
  <c r="G104"/>
  <c r="H104"/>
  <c r="C105"/>
  <c r="D105"/>
  <c r="E105"/>
  <c r="F105"/>
  <c r="G105"/>
  <c r="H105"/>
  <c r="C106"/>
  <c r="D106"/>
  <c r="E106"/>
  <c r="F106"/>
  <c r="G106"/>
  <c r="H106"/>
  <c r="C107"/>
  <c r="D107"/>
  <c r="E107"/>
  <c r="F107"/>
  <c r="G107"/>
  <c r="H107"/>
  <c r="I107"/>
  <c r="C110"/>
  <c r="D110"/>
  <c r="E110"/>
  <c r="F110"/>
  <c r="G110"/>
  <c r="H110"/>
  <c r="C114"/>
  <c r="D114"/>
  <c r="E114"/>
  <c r="F114"/>
  <c r="G114"/>
  <c r="H114"/>
  <c r="C119"/>
  <c r="D119"/>
  <c r="G119"/>
  <c r="H119"/>
  <c r="C120"/>
  <c r="D120"/>
  <c r="E120"/>
  <c r="F120"/>
  <c r="G120"/>
  <c r="H120"/>
  <c r="I120"/>
  <c r="D121"/>
  <c r="E122"/>
  <c r="F122"/>
  <c r="G122"/>
  <c r="C123"/>
  <c r="D123"/>
  <c r="E123"/>
  <c r="F123"/>
  <c r="G123"/>
  <c r="H123"/>
  <c r="C124"/>
  <c r="D124"/>
  <c r="E124"/>
  <c r="F124"/>
  <c r="G124"/>
  <c r="H124"/>
  <c r="C126"/>
  <c r="D126"/>
  <c r="E126"/>
  <c r="F126"/>
  <c r="G126"/>
  <c r="C128"/>
  <c r="D128"/>
  <c r="E128"/>
  <c r="F128"/>
  <c r="G128"/>
  <c r="H128"/>
  <c r="I128"/>
  <c r="I123"/>
  <c r="C137"/>
  <c r="D137"/>
  <c r="E137"/>
  <c r="F137"/>
  <c r="G137"/>
  <c r="H137"/>
  <c r="C138"/>
  <c r="D138"/>
  <c r="E138"/>
  <c r="F138"/>
  <c r="G138"/>
  <c r="H138"/>
  <c r="I138"/>
  <c r="C142"/>
  <c r="D142"/>
  <c r="E142"/>
  <c r="F142"/>
  <c r="G142"/>
  <c r="H142"/>
  <c r="I142"/>
  <c r="C149"/>
  <c r="D149"/>
  <c r="E149"/>
  <c r="F149"/>
  <c r="G149"/>
  <c r="H149"/>
  <c r="I149"/>
  <c r="C151"/>
  <c r="D151"/>
  <c r="E151"/>
  <c r="F151"/>
  <c r="G151"/>
  <c r="H151"/>
  <c r="C154"/>
  <c r="D154"/>
  <c r="E154"/>
  <c r="F154"/>
  <c r="G154"/>
  <c r="H154"/>
  <c r="I154"/>
  <c r="C162"/>
  <c r="D162"/>
  <c r="E162"/>
  <c r="F162"/>
  <c r="G162"/>
  <c r="H162"/>
  <c r="I162"/>
  <c r="C163"/>
  <c r="D163"/>
  <c r="E163"/>
  <c r="F163"/>
  <c r="G163"/>
  <c r="H163"/>
  <c r="C167"/>
  <c r="D167"/>
  <c r="E167"/>
  <c r="F167"/>
  <c r="G167"/>
  <c r="H167"/>
  <c r="C168"/>
  <c r="D168"/>
  <c r="E168"/>
  <c r="F168"/>
  <c r="G168"/>
  <c r="H168"/>
  <c r="C9" i="1"/>
  <c r="D9"/>
  <c r="E9"/>
  <c r="F9"/>
  <c r="G9"/>
  <c r="H9"/>
  <c r="I9"/>
  <c r="D13"/>
  <c r="H13"/>
  <c r="D14"/>
  <c r="C16"/>
  <c r="D16"/>
  <c r="E16"/>
  <c r="F16"/>
  <c r="G16"/>
  <c r="H16"/>
  <c r="I16"/>
  <c r="C21"/>
  <c r="D21"/>
  <c r="E21"/>
  <c r="F21"/>
  <c r="G21"/>
  <c r="H21"/>
  <c r="C23"/>
  <c r="D23"/>
  <c r="E23"/>
  <c r="F23"/>
  <c r="G23"/>
  <c r="H23"/>
  <c r="I23"/>
  <c r="H24"/>
  <c r="I24"/>
  <c r="E28"/>
  <c r="F28"/>
  <c r="G28"/>
  <c r="H28"/>
  <c r="C30"/>
  <c r="D30"/>
  <c r="E30"/>
  <c r="F30"/>
  <c r="G30"/>
  <c r="H30"/>
  <c r="C31"/>
  <c r="D31"/>
  <c r="E31"/>
  <c r="F31"/>
  <c r="G31"/>
  <c r="H31"/>
  <c r="I31"/>
  <c r="I30"/>
  <c r="E37"/>
  <c r="F37"/>
  <c r="G37"/>
  <c r="H37"/>
  <c r="C38"/>
  <c r="D38"/>
  <c r="E38"/>
  <c r="F38"/>
  <c r="G38"/>
  <c r="H38"/>
  <c r="I38"/>
  <c r="C40"/>
  <c r="D40"/>
  <c r="E40"/>
  <c r="F40"/>
  <c r="G40"/>
  <c r="H40"/>
  <c r="C41"/>
  <c r="D41"/>
  <c r="E41"/>
  <c r="F41"/>
  <c r="G41"/>
  <c r="H41"/>
  <c r="E43"/>
  <c r="F43"/>
  <c r="G43"/>
  <c r="H43"/>
  <c r="C44"/>
  <c r="D44"/>
  <c r="E44"/>
  <c r="F44"/>
  <c r="G44"/>
  <c r="H44"/>
  <c r="E45"/>
  <c r="F45"/>
  <c r="G45"/>
  <c r="H45"/>
  <c r="I45"/>
  <c r="C46"/>
  <c r="D46"/>
  <c r="E46"/>
  <c r="F46"/>
  <c r="G46"/>
  <c r="H46"/>
  <c r="I46"/>
  <c r="C49"/>
  <c r="D49"/>
  <c r="E49"/>
  <c r="F49"/>
  <c r="G49"/>
  <c r="H49"/>
  <c r="C50"/>
  <c r="D50"/>
  <c r="E50"/>
  <c r="F50"/>
  <c r="G50"/>
  <c r="H50"/>
  <c r="I50"/>
  <c r="C56"/>
  <c r="D56"/>
  <c r="E56"/>
  <c r="F56"/>
  <c r="G56"/>
  <c r="H56"/>
  <c r="I56"/>
  <c r="C61"/>
  <c r="D61"/>
  <c r="E61"/>
  <c r="F61"/>
  <c r="G61"/>
  <c r="H61"/>
  <c r="I61"/>
  <c r="E63"/>
  <c r="F63"/>
  <c r="G63"/>
  <c r="H63"/>
  <c r="C66"/>
  <c r="D66"/>
  <c r="E66"/>
  <c r="F66"/>
  <c r="G66"/>
  <c r="H66"/>
  <c r="C67"/>
  <c r="D67"/>
  <c r="E67"/>
  <c r="F67"/>
  <c r="G67"/>
  <c r="H67"/>
  <c r="I67"/>
  <c r="C71"/>
  <c r="D71"/>
  <c r="E71"/>
  <c r="F71"/>
  <c r="G71"/>
  <c r="H71"/>
  <c r="I71"/>
  <c r="G74"/>
  <c r="H74"/>
  <c r="C76"/>
  <c r="D76"/>
  <c r="E76"/>
  <c r="F76"/>
  <c r="G76"/>
  <c r="H76"/>
  <c r="I76"/>
  <c r="C77"/>
  <c r="D77"/>
  <c r="E77"/>
  <c r="F77"/>
  <c r="G77"/>
  <c r="H77"/>
  <c r="I77"/>
  <c r="C79"/>
  <c r="D79"/>
  <c r="E79"/>
  <c r="F79"/>
  <c r="G79"/>
  <c r="H79"/>
  <c r="I79"/>
  <c r="I90"/>
  <c r="E80"/>
  <c r="F80"/>
  <c r="G80"/>
  <c r="H80"/>
  <c r="C83"/>
  <c r="D83"/>
  <c r="E83"/>
  <c r="F83"/>
  <c r="G83"/>
  <c r="H83"/>
  <c r="I83"/>
  <c r="C90"/>
  <c r="D90"/>
  <c r="E90"/>
  <c r="F90"/>
  <c r="G90"/>
  <c r="H90"/>
  <c r="C91"/>
  <c r="D91"/>
  <c r="E91"/>
  <c r="F91"/>
  <c r="G91"/>
  <c r="H91"/>
  <c r="C97"/>
  <c r="D97"/>
  <c r="E97"/>
  <c r="F97"/>
  <c r="G97"/>
  <c r="H97"/>
  <c r="C98"/>
  <c r="D98"/>
  <c r="E98"/>
  <c r="F98"/>
  <c r="G98"/>
  <c r="H98"/>
  <c r="C99"/>
  <c r="D99"/>
  <c r="E99"/>
  <c r="F99"/>
  <c r="G99"/>
  <c r="H99"/>
  <c r="C100"/>
  <c r="D100"/>
  <c r="E100"/>
  <c r="F100"/>
  <c r="G100"/>
  <c r="H100"/>
  <c r="C101"/>
  <c r="D101"/>
  <c r="E101"/>
  <c r="F101"/>
  <c r="G101"/>
  <c r="H101"/>
  <c r="I101"/>
  <c r="C102"/>
  <c r="D102"/>
  <c r="E102"/>
  <c r="F102"/>
  <c r="G102"/>
  <c r="H102"/>
  <c r="I102"/>
  <c r="I97"/>
  <c r="I132"/>
  <c r="I158"/>
  <c r="C105"/>
  <c r="D105"/>
  <c r="E105"/>
  <c r="F105"/>
  <c r="G105"/>
  <c r="H105"/>
  <c r="I105"/>
  <c r="C109"/>
  <c r="D109"/>
  <c r="E109"/>
  <c r="F109"/>
  <c r="G109"/>
  <c r="C114"/>
  <c r="D114"/>
  <c r="E114"/>
  <c r="F114"/>
  <c r="G114"/>
  <c r="H114"/>
  <c r="C115"/>
  <c r="D115"/>
  <c r="E115"/>
  <c r="F115"/>
  <c r="G115"/>
  <c r="H115"/>
  <c r="I115"/>
  <c r="D116"/>
  <c r="E116"/>
  <c r="F116"/>
  <c r="G116"/>
  <c r="E117"/>
  <c r="F117"/>
  <c r="G117"/>
  <c r="C118"/>
  <c r="D118"/>
  <c r="E118"/>
  <c r="F118"/>
  <c r="G118"/>
  <c r="H118"/>
  <c r="C119"/>
  <c r="D119"/>
  <c r="E119"/>
  <c r="F119"/>
  <c r="G119"/>
  <c r="H119"/>
  <c r="C121"/>
  <c r="D121"/>
  <c r="E121"/>
  <c r="F121"/>
  <c r="G121"/>
  <c r="H121"/>
  <c r="C123"/>
  <c r="D123"/>
  <c r="E123"/>
  <c r="F123"/>
  <c r="G123"/>
  <c r="H123"/>
  <c r="I123"/>
  <c r="I118"/>
  <c r="C132"/>
  <c r="D132"/>
  <c r="E132"/>
  <c r="F132"/>
  <c r="G132"/>
  <c r="H132"/>
  <c r="C133"/>
  <c r="D133"/>
  <c r="E133"/>
  <c r="F133"/>
  <c r="G133"/>
  <c r="H133"/>
  <c r="I133"/>
  <c r="C137"/>
  <c r="D137"/>
  <c r="E137"/>
  <c r="F137"/>
  <c r="G137"/>
  <c r="H137"/>
  <c r="I137"/>
  <c r="C144"/>
  <c r="D144"/>
  <c r="E144"/>
  <c r="F144"/>
  <c r="G144"/>
  <c r="H144"/>
  <c r="I144"/>
  <c r="I157"/>
  <c r="C146"/>
  <c r="D146"/>
  <c r="E146"/>
  <c r="F146"/>
  <c r="G146"/>
  <c r="H146"/>
  <c r="C149"/>
  <c r="D149"/>
  <c r="E149"/>
  <c r="F149"/>
  <c r="G149"/>
  <c r="H149"/>
  <c r="I149"/>
  <c r="C157"/>
  <c r="D157"/>
  <c r="E157"/>
  <c r="F157"/>
  <c r="G157"/>
  <c r="H157"/>
  <c r="C158"/>
  <c r="D158"/>
  <c r="E158"/>
  <c r="F158"/>
  <c r="G158"/>
  <c r="H158"/>
  <c r="C162"/>
  <c r="D162"/>
  <c r="E162"/>
  <c r="F162"/>
  <c r="G162"/>
  <c r="H162"/>
  <c r="C163"/>
  <c r="D163"/>
  <c r="E163"/>
  <c r="F163"/>
  <c r="G163"/>
  <c r="H163"/>
  <c r="N252" i="24"/>
  <c r="N254"/>
  <c r="I163" i="1"/>
  <c r="I102" i="116"/>
  <c r="I137"/>
  <c r="I163"/>
  <c r="I96" i="3"/>
  <c r="I132"/>
  <c r="I158"/>
  <c r="K93" i="87"/>
  <c r="K129"/>
  <c r="K156"/>
  <c r="I66" i="1"/>
  <c r="I162"/>
  <c r="I71" i="116"/>
  <c r="I167"/>
  <c r="I65" i="3"/>
  <c r="I90"/>
  <c r="I65" i="119"/>
  <c r="K62" i="87"/>
  <c r="K88"/>
  <c r="K158"/>
  <c r="O252" i="24"/>
  <c r="O66" i="63"/>
  <c r="L66"/>
  <c r="I91" i="1"/>
  <c r="I168" i="116"/>
  <c r="I96"/>
  <c r="I90" i="119"/>
</calcChain>
</file>

<file path=xl/comments1.xml><?xml version="1.0" encoding="utf-8"?>
<comments xmlns="http://schemas.openxmlformats.org/spreadsheetml/2006/main">
  <authors>
    <author>penzugy3</author>
  </authors>
  <commentList>
    <comment ref="P22" authorId="0">
      <text>
        <r>
          <rPr>
            <b/>
            <sz val="9"/>
            <color indexed="81"/>
            <rFont val="Tahoma"/>
            <family val="2"/>
            <charset val="238"/>
          </rPr>
          <t>penzugy3:</t>
        </r>
        <r>
          <rPr>
            <sz val="9"/>
            <color indexed="81"/>
            <rFont val="Tahoma"/>
            <family val="2"/>
            <charset val="238"/>
          </rPr>
          <t xml:space="preserve">
bruttó összeg eltérés
</t>
        </r>
      </text>
    </comment>
  </commentList>
</comments>
</file>

<file path=xl/sharedStrings.xml><?xml version="1.0" encoding="utf-8"?>
<sst xmlns="http://schemas.openxmlformats.org/spreadsheetml/2006/main" count="5846" uniqueCount="800">
  <si>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</si>
  <si>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</si>
  <si>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</si>
  <si>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</si>
  <si>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</si>
  <si>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</si>
  <si>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</si>
  <si>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</si>
  <si>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</si>
  <si>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</si>
  <si>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</si>
  <si>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</si>
  <si>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</si>
  <si>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</si>
  <si>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</si>
  <si>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</si>
  <si>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</si>
  <si>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</si>
  <si>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</si>
  <si>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</si>
  <si>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</si>
  <si>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</si>
  <si>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</si>
  <si>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</si>
  <si>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</si>
  <si>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</si>
  <si>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</si>
  <si>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</si>
  <si>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</si>
  <si>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</si>
  <si>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</si>
  <si>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</si>
  <si>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</si>
  <si>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</si>
  <si>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</si>
  <si>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</si>
  <si>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</si>
  <si>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</si>
  <si>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</si>
  <si>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</si>
  <si>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</si>
  <si>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</si>
  <si>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</si>
  <si>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</si>
  <si>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</si>
  <si>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</si>
  <si>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</si>
  <si>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</si>
  <si>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</si>
  <si>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</si>
  <si>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</si>
  <si>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</si>
  <si>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</si>
  <si>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</si>
  <si>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</si>
  <si>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</si>
  <si>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</si>
  <si>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</si>
  <si>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</si>
  <si>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</si>
  <si>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</si>
  <si>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</si>
  <si>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</si>
  <si>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</si>
  <si>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</si>
  <si>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</si>
  <si>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</si>
  <si>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</si>
  <si>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</si>
  <si>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</si>
  <si>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</si>
  <si>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</si>
  <si>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</si>
  <si>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</si>
  <si>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</si>
  <si>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</si>
  <si>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</si>
  <si>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</si>
  <si>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</si>
  <si>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</si>
  <si>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</si>
  <si>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</si>
  <si>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</si>
  <si>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</si>
  <si>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</si>
  <si>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</si>
  <si>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</si>
  <si>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</si>
  <si>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</si>
  <si>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</si>
  <si>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</si>
  <si>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</si>
  <si>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</si>
  <si>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</si>
  <si>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</si>
  <si>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</si>
  <si>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</si>
  <si>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</si>
  <si>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</si>
  <si>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</si>
  <si>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</si>
  <si>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</si>
  <si>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</si>
  <si>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</si>
  <si>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</si>
  <si>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</si>
  <si>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</si>
  <si>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</si>
  <si>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</si>
  <si>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</si>
  <si>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</si>
  <si>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</si>
  <si>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</si>
  <si>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</si>
  <si>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</si>
  <si>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</si>
  <si>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</si>
  <si>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</si>
  <si>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</si>
  <si>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</si>
  <si>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</si>
  <si>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</si>
  <si>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</si>
  <si>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</si>
  <si>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</si>
  <si>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</si>
  <si>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</si>
  <si>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</si>
  <si>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</si>
  <si>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</si>
  <si>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</si>
  <si>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</si>
  <si>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</si>
  <si>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</si>
  <si>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</si>
  <si>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</si>
  <si>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</si>
  <si>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</si>
  <si>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</si>
  <si>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</si>
  <si>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</si>
  <si>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</si>
  <si>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</si>
  <si>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</si>
  <si>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</si>
  <si>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</si>
  <si>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</si>
  <si>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</si>
  <si>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</si>
  <si>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</si>
  <si>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</si>
  <si>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</si>
  <si>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</si>
  <si>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</si>
  <si>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</si>
  <si>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</si>
  <si>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</si>
  <si>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</si>
  <si>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</si>
  <si>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</si>
  <si>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</si>
  <si>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</si>
  <si>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</si>
  <si>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</si>
  <si>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</si>
  <si>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</si>
  <si>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</si>
  <si>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</si>
  <si>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</si>
  <si>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</si>
  <si>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</si>
  <si>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</si>
  <si>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</si>
  <si>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</si>
  <si>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</si>
  <si>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</si>
  <si>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</si>
  <si>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</si>
  <si>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</si>
  <si>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</si>
  <si>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</si>
  <si>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</si>
  <si>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</si>
  <si>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</si>
  <si>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</si>
  <si>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</si>
  <si>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</si>
  <si>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</si>
  <si>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</si>
  <si>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</si>
  <si>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</si>
  <si>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</si>
  <si>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</si>
  <si>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</si>
  <si>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</si>
  <si>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</si>
  <si>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</si>
  <si>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</si>
  <si>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</si>
  <si>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</si>
  <si>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</si>
  <si>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</si>
  <si>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</si>
  <si>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</si>
  <si>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</si>
  <si>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</si>
  <si>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</si>
  <si>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</si>
  <si>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</si>
  <si>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</si>
  <si>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</si>
  <si>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</si>
  <si>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</si>
  <si>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</si>
  <si>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</si>
  <si>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</si>
  <si>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</si>
  <si>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</si>
  <si>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</si>
  <si>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</si>
  <si>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</si>
  <si>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</si>
  <si>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</si>
  <si>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</si>
  <si>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</si>
  <si>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</si>
  <si>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</si>
  <si>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</si>
  <si>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</si>
  <si>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</si>
  <si>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</si>
  <si>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</si>
  <si>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</si>
  <si>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</si>
  <si>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</si>
  <si>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</si>
  <si>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</si>
  <si>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</si>
  <si>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</si>
  <si>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</si>
  <si>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</si>
  <si>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</si>
  <si>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</si>
  <si>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</si>
  <si>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</si>
  <si>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</si>
  <si>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</si>
  <si>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</si>
  <si>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</si>
  <si>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</si>
  <si>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</si>
  <si>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</si>
  <si>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</si>
  <si>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</si>
  <si>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</si>
  <si>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</si>
  <si>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</si>
  <si>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</si>
  <si>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</si>
  <si>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</si>
  <si>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</si>
  <si>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</si>
  <si>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</si>
  <si>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</si>
  <si>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</si>
  <si>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</si>
  <si>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</si>
  <si>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</si>
  <si>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</si>
  <si>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</si>
  <si>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</si>
  <si>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</si>
  <si>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</si>
  <si>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</si>
  <si>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</si>
  <si>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</si>
  <si>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</si>
  <si>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</si>
  <si>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</si>
  <si>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</si>
  <si>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</si>
  <si>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</si>
  <si>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</si>
  <si>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</si>
  <si>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</si>
  <si>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</si>
  <si>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</si>
  <si>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</si>
  <si>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</si>
  <si>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</si>
  <si>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</si>
  <si>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</si>
  <si>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</si>
  <si>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</si>
  <si>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</si>
  <si>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</si>
  <si>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</si>
  <si>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</si>
  <si>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</si>
  <si>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</si>
  <si>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</si>
  <si>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</si>
  <si>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</si>
  <si>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</si>
  <si>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</si>
  <si>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</si>
  <si>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</si>
  <si>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</si>
  <si>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</si>
  <si>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</si>
  <si>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</si>
  <si>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</si>
  <si>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</si>
  <si>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</si>
  <si>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</si>
  <si>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</si>
  <si>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</si>
  <si>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</si>
  <si>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</si>
  <si>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</si>
  <si>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</si>
  <si>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</si>
  <si>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</si>
  <si>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</si>
  <si>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</si>
  <si>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</si>
  <si>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</si>
  <si>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</si>
  <si>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</si>
  <si>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</si>
  <si>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</si>
  <si>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</si>
  <si>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</si>
  <si>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</si>
  <si>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</si>
  <si>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</si>
  <si>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</si>
  <si>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</si>
  <si>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</si>
  <si>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</si>
  <si>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</si>
  <si>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</si>
  <si>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</si>
  <si>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</si>
  <si>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</si>
  <si>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</si>
  <si>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</si>
  <si>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</si>
  <si>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</si>
  <si>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</si>
  <si>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</si>
  <si>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</si>
  <si>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</si>
  <si>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</si>
  <si>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</si>
  <si>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</si>
  <si>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</si>
  <si>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</si>
  <si>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</si>
  <si>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</si>
  <si>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</si>
  <si>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</si>
  <si>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</si>
  <si>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</si>
  <si>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</si>
  <si>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</si>
  <si>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</si>
  <si>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</si>
  <si>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</si>
  <si>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</si>
  <si>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</si>
  <si>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</si>
  <si>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</si>
  <si>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</si>
  <si>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</si>
  <si>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</si>
  <si>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</si>
  <si>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</si>
  <si>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</si>
  <si>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</si>
  <si>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</si>
  <si>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</si>
  <si>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</si>
  <si>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</si>
  <si>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</si>
  <si>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</si>
  <si>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</si>
  <si>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</si>
  <si>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</si>
  <si>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</si>
  <si>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</si>
  <si>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</si>
  <si>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</si>
  <si>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</si>
  <si>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</si>
  <si>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</si>
  <si>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</si>
  <si>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</si>
  <si>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</si>
  <si>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</si>
  <si>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</si>
  <si>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</si>
  <si>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</si>
  <si>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</si>
  <si>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</si>
  <si>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</si>
  <si>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</si>
  <si>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</si>
  <si>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</si>
  <si>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</si>
  <si>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</si>
  <si>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</si>
  <si>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</si>
  <si>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</si>
  <si>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</si>
  <si>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</si>
  <si>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</si>
  <si>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</si>
  <si>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</si>
  <si>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</si>
  <si>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</si>
  <si>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</si>
  <si>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</si>
  <si>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</si>
  <si>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</si>
  <si>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</si>
  <si>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</si>
  <si>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</si>
  <si>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</si>
  <si>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</si>
  <si>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</si>
  <si>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</si>
  <si>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</si>
  <si>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</si>
  <si>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</si>
  <si>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</si>
  <si>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</si>
  <si>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</si>
  <si>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</si>
  <si>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</si>
  <si>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</si>
  <si>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</si>
  <si>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</si>
  <si>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</si>
  <si>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</si>
  <si>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</si>
  <si>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</si>
  <si>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</si>
  <si>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</si>
  <si>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</si>
  <si>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</si>
  <si>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</si>
  <si>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</si>
  <si>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</si>
  <si>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</si>
  <si>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</si>
  <si>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</si>
  <si>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</si>
  <si>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</si>
  <si>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</si>
  <si>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</si>
  <si>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</si>
  <si>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</si>
  <si>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</si>
  <si>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</si>
  <si>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</si>
  <si>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</si>
  <si>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</si>
  <si>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</si>
  <si>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</si>
  <si>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</si>
  <si>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</si>
  <si>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</si>
  <si>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</si>
  <si>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</si>
  <si>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</si>
  <si>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</si>
  <si>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</si>
  <si>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</si>
  <si>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</si>
  <si>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</si>
  <si>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</si>
  <si>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</si>
  <si>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</si>
  <si>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</si>
  <si>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</si>
  <si>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</si>
  <si>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</si>
  <si>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</si>
  <si>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</si>
  <si>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</si>
  <si>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</si>
  <si>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</si>
  <si>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</si>
  <si>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</si>
  <si>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</si>
  <si>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</si>
  <si>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</si>
  <si>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</si>
  <si>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</si>
  <si>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</si>
  <si>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</si>
  <si>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</si>
  <si>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</si>
  <si>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</si>
  <si>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</si>
  <si>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</si>
  <si>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</si>
  <si>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</si>
  <si>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</si>
  <si>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</si>
  <si>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</si>
  <si>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</si>
  <si>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</si>
  <si>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</si>
  <si>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</si>
  <si>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</si>
  <si>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</si>
  <si>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</si>
  <si>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</si>
  <si>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</si>
  <si>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</si>
  <si>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</si>
  <si>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</si>
  <si>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</si>
  <si>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</si>
  <si>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</si>
  <si>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</si>
  <si>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</si>
  <si>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</si>
  <si>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</si>
  <si>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</si>
  <si>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</si>
  <si>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</si>
  <si>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</si>
  <si>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</si>
  <si>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</si>
  <si>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</si>
  <si>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</si>
  <si>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</si>
  <si>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</si>
  <si>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</si>
  <si>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</si>
  <si>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</si>
  <si>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</si>
  <si>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</si>
  <si>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</si>
  <si>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</si>
  <si>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</si>
  <si>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</si>
  <si>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</si>
  <si>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</si>
  <si>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</si>
  <si>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</si>
  <si>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</si>
  <si>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</si>
  <si>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</si>
  <si>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</si>
  <si>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</si>
  <si>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</si>
  <si>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</si>
  <si>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</si>
  <si>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</si>
  <si>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</si>
  <si>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</si>
  <si>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</si>
  <si>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</si>
  <si>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</si>
  <si>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</si>
  <si>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</si>
  <si>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</si>
  <si>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Jövedelempótló támogatások összesen</t>
  </si>
  <si>
    <t>foglalkoztatást helyettesítő támogatás</t>
  </si>
  <si>
    <t>rendszeres szociális segély</t>
  </si>
  <si>
    <t>lakásfenntartási támogatás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</si>
  <si>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</si>
  <si>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</si>
  <si>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</si>
  <si>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</si>
  <si>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</si>
  <si>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</si>
  <si>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</si>
  <si>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</si>
  <si>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</si>
  <si>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2019. évi</t>
  </si>
  <si>
    <t>Sorszám</t>
  </si>
  <si>
    <t>Len-Ki Baba Kft</t>
  </si>
  <si>
    <t xml:space="preserve">K I M U T A T Á S </t>
  </si>
  <si>
    <t>Ft</t>
  </si>
  <si>
    <t>személyes szabadság korlátozása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</si>
  <si>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</si>
  <si>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</si>
  <si>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</si>
  <si>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</si>
  <si>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</si>
  <si>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</si>
  <si>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2017.</t>
  </si>
  <si>
    <t>2018.</t>
  </si>
  <si>
    <t>Templom körüli térkő kialakítása (temető)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</si>
  <si>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</si>
  <si>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</si>
  <si>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</si>
  <si>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</si>
  <si>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</si>
  <si>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</si>
  <si>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forintban</t>
  </si>
  <si>
    <t>2019.</t>
  </si>
  <si>
    <t>2020.</t>
  </si>
  <si>
    <t>Hozzájárulás  (Ft)</t>
  </si>
  <si>
    <t>Járdaburkolat felújítása (adósságkonszolidáció-2016.év)</t>
  </si>
  <si>
    <t>* Fő utca 7-27 (1400/3, 1482/2 Hrsz) (Vashegyi gyalogos járda és rézsű megerősítése)</t>
  </si>
  <si>
    <t>* Strandi sétány (911/14 Hrsz)</t>
  </si>
  <si>
    <t>* Fő utca 82-84/1 (1400/16 Hrsz)</t>
  </si>
  <si>
    <t>* Fő utca 50-62/2 (185/6 Hrsz)</t>
  </si>
  <si>
    <t>Eszközbeszerzés-gép,berendezés (Polgármester)</t>
  </si>
  <si>
    <t>Eszközbeszerzés-informatikai (Polgármester)</t>
  </si>
  <si>
    <t>Eszközbeszerzés-gép,berendezés (iskola)</t>
  </si>
  <si>
    <t>Településfejlesztési koncepció (adósságkonszolidáció)</t>
  </si>
  <si>
    <t>Út beruházás (VP6-7.2.1-7.4.1.2-16 pályázat, 1. célterület önrésze) (út)</t>
  </si>
  <si>
    <t>Eszközbeszerzés-gép,berendezés (város-községgazdálkodás)</t>
  </si>
  <si>
    <t>Eszközbeszerzés-gép,berendezés (háziorvos)</t>
  </si>
  <si>
    <t>Eszközbeszerzés-informatikai (Gyermekorvos)</t>
  </si>
  <si>
    <t>Eszközbeszerzés-gép,berendezés (védőnő)</t>
  </si>
  <si>
    <t>Röplabdapálya fejlesztése (strand)</t>
  </si>
  <si>
    <t>Eszközbeszerzés-gép,berendezés (strand)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</si>
  <si>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</si>
  <si>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</si>
  <si>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</si>
  <si>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</si>
  <si>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</si>
  <si>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Kandelláber (2 db) (Kápolna utca)</t>
  </si>
  <si>
    <t>Út beruházáshoz gép, berendezés (VP6-7.2.1-7.4.1.2-16 pályázat, 1.célterület önrésze)(közút fenntartás)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</si>
  <si>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</si>
  <si>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</si>
  <si>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</si>
  <si>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</si>
  <si>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</si>
  <si>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</si>
  <si>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Felhaszánálási hely</t>
  </si>
  <si>
    <t>Temető</t>
  </si>
  <si>
    <t>Út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</si>
  <si>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</si>
  <si>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</si>
  <si>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</si>
  <si>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</si>
  <si>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</si>
  <si>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</si>
  <si>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Közút fenntartás</t>
  </si>
  <si>
    <t>Iskola</t>
  </si>
  <si>
    <t>Háziorvos</t>
  </si>
  <si>
    <t>Védőnő</t>
  </si>
  <si>
    <t>Eszközbeszerzés-gép,berendezés (gyermekorvos)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</si>
  <si>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</si>
  <si>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</si>
  <si>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</si>
  <si>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</si>
  <si>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Keszthelyi Mentők Alapítány</t>
  </si>
  <si>
    <t>Város-és községgazd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</si>
  <si>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</si>
  <si>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</si>
  <si>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</si>
  <si>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</si>
  <si>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Turisztika</t>
  </si>
  <si>
    <t xml:space="preserve">Beruházás (ingatlan)(pályázat-piac)(nyilvános wc, út, járda, csapadékvíz, piactér lefedése) </t>
  </si>
  <si>
    <t>Beruházás (gép, berendezés)(pályázat-piac)(árusító asztal, mobil árusítóhely, térbútorok, hordozható számítógép)</t>
  </si>
  <si>
    <t>Beruházás (gép, berendezés)(pályázat-mondák)(berendezések, informatikai-audiovizuális eszközök, élményelemek, szoftverek)</t>
  </si>
  <si>
    <t>Beruházás (ingatlan)(pályázat-mondák)(telek vásárlás, látogatóközpont épülete, külső játszótér, kézműves pince, alkotó terasz, parkoló)</t>
  </si>
  <si>
    <t>Beruházás (ingatlan)(pályázat-csapadékcsatorna)(Helikon-Agyagos-Rákóczi u. csap.csat)</t>
  </si>
  <si>
    <t>Beruházás (gép, berendezés)(pályázat-busz)(mikrobusz)</t>
  </si>
  <si>
    <t>2017-2018</t>
  </si>
  <si>
    <t>2017-2020</t>
  </si>
  <si>
    <t>2017-2019</t>
  </si>
  <si>
    <t xml:space="preserve">Vonyarcvashegy Sportegyesület </t>
  </si>
  <si>
    <t>Lakossági víz-csatornaszolgáltatási támogatás</t>
  </si>
  <si>
    <t>Kiegészítő, központosított előirányzat</t>
  </si>
  <si>
    <t>Állami támogatás</t>
  </si>
  <si>
    <t>Egyéb kulturális támogatás (könyvtári érdekeltségnövelő támogatás)</t>
  </si>
  <si>
    <t>Temetői kőkeresztek felújítása</t>
  </si>
  <si>
    <t>Közös Hivatal felújítása</t>
  </si>
  <si>
    <t>Beruházás (gép, berendezés)(pályázat-Közös Hivatal)(kazán)</t>
  </si>
  <si>
    <t>Ingatlanvásárlás (2007/6 Hrsz, 2034 m2 beépítetlen terület)</t>
  </si>
  <si>
    <t>*</t>
  </si>
  <si>
    <t xml:space="preserve">* A 105/2017.(VIII.11.) számú Képviselő-testületi határozat alapján megvásárlásra kerül a 2007/6 Hrsz-ú, 2034 m2 beépítetlen területű ingatlan 9.700.000 + 2.619.000 = 12.319.000 Ft összegben. Az ingatlan beszerzése a Mondák háza pályázat megvalósítása miatt történik. A pályázatban már szerepel 4.602.231 Ft előirányzat telekvásárlásra, így a pályázati beruházás sor ennyivel csökken, és az ingatlan beszerzés külön soron teljes összegben kerül kimutatásra. </t>
  </si>
  <si>
    <t>Zöldterület</t>
  </si>
  <si>
    <t>Környezetvédelmi program felülvizsgálata</t>
  </si>
  <si>
    <t>Szociális tűzifa támogatás</t>
  </si>
  <si>
    <t>Morzsa Állatvédelmi Alapítvány</t>
  </si>
  <si>
    <t>Eredeti előirányzat (2018.01)</t>
  </si>
  <si>
    <t>2018. ÉVI KÖLTSÉGVETÉSÉNEK ÖSSZEVONT MÉRLEGE</t>
  </si>
  <si>
    <t>VONYARVASHEGY NAGYKÖZSÉG ÖNKORMÁNYZAT</t>
  </si>
  <si>
    <t>2018. ÉVI KÖLTSÉGVETÉSÉNEK MÉRLEGE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</si>
  <si>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</si>
  <si>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</si>
  <si>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</si>
  <si>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</si>
  <si>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</si>
  <si>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</si>
  <si>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Vonyarcvashegy Nagyközség Önkormányzata  2018. évi adósságot keletkeztető fejlesztési céljai</t>
  </si>
  <si>
    <t>Felhasználás 2017.12.31-ig</t>
  </si>
  <si>
    <t>2018. év utáni szükséglet</t>
  </si>
  <si>
    <t>2019. után</t>
  </si>
  <si>
    <t>Önkormányzaton kívüli EU-s projektekhez történő hozzájárulás 2018. évi előirányzat</t>
  </si>
  <si>
    <t>Éves eredeti kiadási előirányzat: 1.223.597.044 Ft</t>
  </si>
  <si>
    <t>Vonyarcvashegy, 2018. .......................... hó .....nap</t>
  </si>
  <si>
    <t>2017. évi várható</t>
  </si>
  <si>
    <t>2016. évi tény</t>
  </si>
  <si>
    <t>2017. év előtti kifizetés</t>
  </si>
  <si>
    <t>Előirányzat-felhasználási terv 2018. évre</t>
  </si>
  <si>
    <t>(2018.01.)</t>
  </si>
  <si>
    <t>2018. évi támogatás (2018.01.01)</t>
  </si>
  <si>
    <t>A 2018. évi működési és felhalmozási feladatok állami támogatásának alakulása jogcímenként</t>
  </si>
  <si>
    <t>2017. évi pótigény</t>
  </si>
  <si>
    <t>Bérkompenzáció (2017. év)</t>
  </si>
  <si>
    <t>a 2018. évben céljelleggel juttatott támogatásokról</t>
  </si>
  <si>
    <t>Támogatás összege (2018.01.01)</t>
  </si>
  <si>
    <t>Polgármesteri illetmény támogatása</t>
  </si>
  <si>
    <t>ASP rendszer bevezetése</t>
  </si>
  <si>
    <t>Arany János utcai út, járda felújítása</t>
  </si>
  <si>
    <t>2015-2018</t>
  </si>
  <si>
    <t>Járdafelújítás (strand)</t>
  </si>
  <si>
    <t>2018-2018</t>
  </si>
  <si>
    <t>Egyéb építmény (strand)</t>
  </si>
  <si>
    <t>2016-2018</t>
  </si>
  <si>
    <t>Műfüves pálya labdafogó hálótartó oszlopok</t>
  </si>
  <si>
    <t>Önkorm.vagyonnal való gazd.</t>
  </si>
  <si>
    <t>Lámpatestek</t>
  </si>
  <si>
    <t>Óvoda épületének tetőtér beépítése (város-községgazdálkodás)</t>
  </si>
  <si>
    <t>Óvoda lépcső burkolása (város-községgazdálkodás)</t>
  </si>
  <si>
    <t>Kisajátítás-kártalanítás (Mondák Háza)</t>
  </si>
  <si>
    <t>Emléktábla (Tóvölgyi László)</t>
  </si>
  <si>
    <t>Beruházás (ingatlan)(strand)</t>
  </si>
  <si>
    <t xml:space="preserve">Beruházás (ingatlan)(pályázat-strand) </t>
  </si>
  <si>
    <t>Beruházás (gép, berendezés)(pályázat-strand)</t>
  </si>
  <si>
    <t>Térburkolat, kereszt, parkosítás (I. világháborús pályázat)</t>
  </si>
  <si>
    <t>Kamerarendszer (temető)</t>
  </si>
  <si>
    <t>4. tájékoztató tábla</t>
  </si>
  <si>
    <t>2020. évi</t>
  </si>
  <si>
    <t>2021. évi</t>
  </si>
  <si>
    <t>Módosított előirányzat (2018.03)</t>
  </si>
  <si>
    <t>Forintban</t>
  </si>
  <si>
    <t>(2018.03.)</t>
  </si>
  <si>
    <t>Támogatás összege (2018.03)</t>
  </si>
  <si>
    <t>2018. évi támogatás (2018.03)</t>
  </si>
  <si>
    <t>Módosított előirányzat (2018.06)</t>
  </si>
  <si>
    <t>(2018.06.)</t>
  </si>
  <si>
    <t>2018. évi támogatás (2018.06)</t>
  </si>
  <si>
    <t>Támogatás összege (2018.06)</t>
  </si>
  <si>
    <t>Szociális tűzifa támogatás (kiegészítés-2017.év)</t>
  </si>
  <si>
    <t xml:space="preserve">                              ebből: Közművelődési érdekeltségnövelő pályázati önerő</t>
  </si>
  <si>
    <t>Eszközbeszerzés-Árnyékoló (4 db)(strand)</t>
  </si>
  <si>
    <t>Eszközfelújítás (strand)(nádtetős napernyő)</t>
  </si>
  <si>
    <t>Külterületi utak fejlesztése (külterületi utak pályázat)</t>
  </si>
  <si>
    <t>Belterületi utak</t>
  </si>
  <si>
    <t>Szoftver (strand)</t>
  </si>
  <si>
    <t>Járdafelújítás (71. sz. Fő út és buszöböl között)</t>
  </si>
  <si>
    <t>Zala-menti Kutató-Mentő Csoport Egyesület</t>
  </si>
  <si>
    <t>2018. évi támogatás (2018.08)</t>
  </si>
  <si>
    <t>(2018.08.)</t>
  </si>
  <si>
    <t>Módosított előirányzat (2018.08)</t>
  </si>
  <si>
    <t>Támogatás összege (2018.08)</t>
  </si>
  <si>
    <t>Módosított előirányzat (2018.09)</t>
  </si>
  <si>
    <t>(2018.09.)</t>
  </si>
  <si>
    <t>2018. évi támogatás (2018.09)</t>
  </si>
  <si>
    <t>Támogatás összege (2018.09)</t>
  </si>
  <si>
    <t>Jó adatszolgáltató önkormányzatok pályázat</t>
  </si>
  <si>
    <t>Országos Mentőszolgálat Alapítvány</t>
  </si>
  <si>
    <t>felhalmozási c.támogatás (eszközbeszerzés)</t>
  </si>
  <si>
    <t>Felhalmozási célú támogatások</t>
  </si>
  <si>
    <t>Önkormányzati étkeztetési fejlesztések támogatása</t>
  </si>
  <si>
    <t>Tálcacsúszda (önkorm.étkeztetési fejlesztések támog.pályázat)</t>
  </si>
  <si>
    <t>Gyermekétkeztetés</t>
  </si>
  <si>
    <t>2018-2019</t>
  </si>
  <si>
    <t>Tálcakocsi, tálca (önkorm.étkeztetési fejlesztések támog.pályázat)</t>
  </si>
  <si>
    <t>Módosított előirányzat (2018.12)</t>
  </si>
  <si>
    <t>(2018.12.)</t>
  </si>
  <si>
    <t>2018. évi támogatás (2018.12)</t>
  </si>
  <si>
    <t>Támogatás összege (2018.12)</t>
  </si>
  <si>
    <t>Lámpatestek, kandelláber (közvilágítás)</t>
  </si>
  <si>
    <t>Rákóczi Szövetség</t>
  </si>
  <si>
    <t>működési költségek-"beiratkozási program"</t>
  </si>
  <si>
    <t>Módosított előirányzat (2018.12.31)</t>
  </si>
  <si>
    <t>(2018.12.31)</t>
  </si>
  <si>
    <t>2018. évi támogatás (2018.12.31)</t>
  </si>
  <si>
    <t>Támogatás összege (2018.12.31)</t>
  </si>
  <si>
    <t>Téli rezsicsökkentés</t>
  </si>
  <si>
    <t>Részesedés, Értékpapír értékesítése</t>
  </si>
  <si>
    <t xml:space="preserve"> 1.2. melléklet a 2/2019. (II.28.) önkormányzati rendelethez</t>
  </si>
  <si>
    <t>2.1. melléklet a 2/2019. (II.28.) önkormányzati rendelethez</t>
  </si>
  <si>
    <t>2.2. melléklet a 2/2019. (II.28.) önkormányzati rendelethez</t>
  </si>
  <si>
    <t xml:space="preserve"> 6. melléklet a 2/2019. (II.28.) önkormányzati rendelethez</t>
  </si>
  <si>
    <t>9.1. melléklet a 2/2019. (II.28.) önkormányzati rendelethez</t>
  </si>
  <si>
    <t>9.1.1. melléklet a 2/2019. (II.28.)önkormányzati rendelethez</t>
  </si>
  <si>
    <t>9.1.2. melléklet a 2/2019. (II.28.) önkormányzati rendelethez</t>
  </si>
  <si>
    <t>9.1.3. melléklet a 2/2019. (II.28.) önkormányzati rendelethez</t>
  </si>
  <si>
    <t>9.2. melléklet a 2/2019. (II.28.) önkormányzati rendelethez</t>
  </si>
  <si>
    <t>9.2.(2-1) melléklet a 2/2019. (II.28.) önkormányzati rendelethez</t>
  </si>
  <si>
    <t>9.2.(2-2) melléklet a 2/2019. (II.28.) önkormányzati rendelethez</t>
  </si>
  <si>
    <t>9.2.1. melléklet a 2/2019. (II.28.) önkormányzati rendelethez</t>
  </si>
  <si>
    <t>9.2.2. melléklet a 2/2019. (II.28.) önkormányzati rendelethez</t>
  </si>
  <si>
    <t>9.2.3. melléklet a 2/2019. (II.28.)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</si>
</sst>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6" formatCode="_-* #,##0\ _F_t_-;\-* #,##0\ _F_t_-;_-* &quot;-&quot;??\ _F_t_-;_-@_-"/>
    <numFmt numFmtId="172" formatCode="0&quot;.&quot;"/>
  </numFmts>
  <fonts count="54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u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08">
    <xf numFmtId="0" fontId="0" fillId="0" borderId="0" xfId="0"/>
    <xf numFmtId="164" fontId="9" fillId="0" borderId="0" xfId="0" applyNumberFormat="1" applyFont="1" applyFill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4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164" fontId="16" fillId="0" borderId="6" xfId="0" applyNumberFormat="1" applyFont="1" applyFill="1" applyBorder="1" applyAlignment="1" applyProtection="1">
      <alignment horizontal="right" vertical="center" wrapText="1" inden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11" xfId="4" applyFont="1" applyFill="1" applyBorder="1" applyAlignment="1" applyProtection="1">
      <alignment horizontal="left" vertical="center" wrapText="1" indent="1"/>
    </xf>
    <xf numFmtId="0" fontId="18" fillId="0" borderId="12" xfId="4" applyFont="1" applyFill="1" applyBorder="1" applyAlignment="1" applyProtection="1">
      <alignment horizontal="left" vertical="center" wrapText="1" indent="1"/>
    </xf>
    <xf numFmtId="0" fontId="18" fillId="0" borderId="13" xfId="4" applyFont="1" applyFill="1" applyBorder="1" applyAlignment="1" applyProtection="1">
      <alignment horizontal="left" vertical="center" wrapText="1" indent="1"/>
    </xf>
    <xf numFmtId="0" fontId="16" fillId="0" borderId="8" xfId="4" applyFont="1" applyFill="1" applyBorder="1" applyAlignment="1" applyProtection="1">
      <alignment horizontal="lef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4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4" fillId="0" borderId="7" xfId="0" applyFont="1" applyFill="1" applyBorder="1" applyAlignment="1" applyProtection="1">
      <alignment horizontal="left" vertical="center"/>
    </xf>
    <xf numFmtId="0" fontId="14" fillId="0" borderId="19" xfId="0" applyFont="1" applyFill="1" applyBorder="1" applyAlignment="1" applyProtection="1">
      <alignment vertical="center" wrapText="1"/>
    </xf>
    <xf numFmtId="3" fontId="1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3" fillId="0" borderId="20" xfId="0" applyFont="1" applyFill="1" applyBorder="1" applyAlignment="1" applyProtection="1">
      <alignment horizontal="right" vertical="center"/>
    </xf>
    <xf numFmtId="0" fontId="11" fillId="0" borderId="7" xfId="4" applyFont="1" applyFill="1" applyBorder="1" applyAlignment="1" applyProtection="1">
      <alignment horizontal="center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5" fillId="0" borderId="21" xfId="4" applyFont="1" applyFill="1" applyBorder="1" applyAlignment="1" applyProtection="1">
      <alignment horizontal="center" vertical="center" wrapText="1"/>
    </xf>
    <xf numFmtId="0" fontId="15" fillId="0" borderId="5" xfId="4" applyFont="1" applyFill="1" applyBorder="1" applyAlignment="1" applyProtection="1">
      <alignment horizontal="center" vertical="center" wrapText="1"/>
    </xf>
    <xf numFmtId="0" fontId="15" fillId="0" borderId="22" xfId="4" applyFont="1" applyFill="1" applyBorder="1" applyAlignment="1" applyProtection="1">
      <alignment horizontal="center" vertical="center" wrapText="1"/>
    </xf>
    <xf numFmtId="0" fontId="18" fillId="0" borderId="0" xfId="4" applyFont="1" applyFill="1" applyProtection="1"/>
    <xf numFmtId="0" fontId="15" fillId="0" borderId="7" xfId="4" applyFont="1" applyFill="1" applyBorder="1" applyAlignment="1" applyProtection="1">
      <alignment horizontal="left" vertical="center" wrapText="1" indent="1"/>
    </xf>
    <xf numFmtId="0" fontId="15" fillId="0" borderId="8" xfId="4" applyFont="1" applyFill="1" applyBorder="1" applyAlignment="1" applyProtection="1">
      <alignment horizontal="left" vertical="center" wrapText="1" indent="1"/>
    </xf>
    <xf numFmtId="164" fontId="15" fillId="0" borderId="6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18" fillId="0" borderId="23" xfId="4" applyNumberFormat="1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left" wrapText="1" indent="1"/>
    </xf>
    <xf numFmtId="164" fontId="1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4" xfId="4" applyNumberFormat="1" applyFont="1" applyFill="1" applyBorder="1" applyAlignment="1" applyProtection="1">
      <alignment horizontal="left" vertical="center" wrapText="1" indent="1"/>
    </xf>
    <xf numFmtId="0" fontId="25" fillId="0" borderId="11" xfId="0" applyFont="1" applyBorder="1" applyAlignment="1" applyProtection="1">
      <alignment horizontal="left" wrapText="1" indent="1"/>
    </xf>
    <xf numFmtId="164" fontId="18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1" xfId="0" applyFont="1" applyBorder="1" applyAlignment="1" applyProtection="1">
      <alignment horizontal="left" vertical="center" wrapText="1" indent="1"/>
    </xf>
    <xf numFmtId="49" fontId="18" fillId="0" borderId="25" xfId="4" applyNumberFormat="1" applyFont="1" applyFill="1" applyBorder="1" applyAlignment="1" applyProtection="1">
      <alignment horizontal="left" vertical="center" wrapText="1" indent="1"/>
    </xf>
    <xf numFmtId="0" fontId="25" fillId="0" borderId="26" xfId="0" applyFont="1" applyBorder="1" applyAlignment="1" applyProtection="1">
      <alignment horizontal="left" vertical="center" wrapText="1" indent="1"/>
    </xf>
    <xf numFmtId="0" fontId="20" fillId="0" borderId="8" xfId="0" applyFont="1" applyBorder="1" applyAlignment="1" applyProtection="1">
      <alignment horizontal="left" vertical="center" wrapText="1" indent="1"/>
    </xf>
    <xf numFmtId="164" fontId="18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6" xfId="0" applyFont="1" applyBorder="1" applyAlignment="1" applyProtection="1">
      <alignment horizontal="left" wrapText="1" indent="1"/>
    </xf>
    <xf numFmtId="164" fontId="16" fillId="0" borderId="6" xfId="4" applyNumberFormat="1" applyFont="1" applyFill="1" applyBorder="1" applyAlignment="1" applyProtection="1">
      <alignment horizontal="right" vertical="center" wrapText="1" indent="1"/>
    </xf>
    <xf numFmtId="164" fontId="18" fillId="0" borderId="14" xfId="4" applyNumberFormat="1" applyFont="1" applyFill="1" applyBorder="1" applyAlignment="1" applyProtection="1">
      <alignment horizontal="right" vertical="center" wrapText="1" indent="1"/>
    </xf>
    <xf numFmtId="0" fontId="25" fillId="0" borderId="11" xfId="0" quotePrefix="1" applyFont="1" applyBorder="1" applyAlignment="1" applyProtection="1">
      <alignment horizontal="left" wrapText="1" indent="1"/>
    </xf>
    <xf numFmtId="164" fontId="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4" applyFont="1" applyFill="1" applyBorder="1" applyAlignment="1" applyProtection="1">
      <alignment horizontal="left" vertical="center" wrapText="1"/>
    </xf>
    <xf numFmtId="0" fontId="20" fillId="0" borderId="7" xfId="0" applyFont="1" applyBorder="1" applyAlignment="1" applyProtection="1">
      <alignment vertical="center" wrapText="1"/>
    </xf>
    <xf numFmtId="0" fontId="25" fillId="0" borderId="26" xfId="0" applyFont="1" applyBorder="1" applyAlignment="1" applyProtection="1">
      <alignment vertical="center" wrapText="1"/>
    </xf>
    <xf numFmtId="0" fontId="25" fillId="0" borderId="23" xfId="0" applyFont="1" applyBorder="1" applyAlignment="1" applyProtection="1">
      <alignment wrapText="1"/>
    </xf>
    <xf numFmtId="0" fontId="25" fillId="0" borderId="24" xfId="0" applyFont="1" applyBorder="1" applyAlignment="1" applyProtection="1">
      <alignment wrapText="1"/>
    </xf>
    <xf numFmtId="0" fontId="25" fillId="0" borderId="25" xfId="0" applyFont="1" applyBorder="1" applyAlignment="1" applyProtection="1">
      <alignment wrapText="1"/>
    </xf>
    <xf numFmtId="164" fontId="1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" xfId="0" applyFont="1" applyBorder="1" applyAlignment="1" applyProtection="1">
      <alignment wrapText="1"/>
    </xf>
    <xf numFmtId="0" fontId="20" fillId="0" borderId="28" xfId="0" applyFont="1" applyBorder="1" applyAlignment="1" applyProtection="1">
      <alignment vertical="center" wrapText="1"/>
    </xf>
    <xf numFmtId="0" fontId="20" fillId="0" borderId="29" xfId="0" applyFont="1" applyBorder="1" applyAlignment="1" applyProtection="1">
      <alignment wrapText="1"/>
    </xf>
    <xf numFmtId="0" fontId="12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20" xfId="0" applyFont="1" applyFill="1" applyBorder="1" applyAlignment="1" applyProtection="1">
      <alignment horizontal="right"/>
    </xf>
    <xf numFmtId="0" fontId="2" fillId="0" borderId="0" xfId="4" applyFont="1" applyFill="1" applyAlignment="1" applyProtection="1"/>
    <xf numFmtId="0" fontId="15" fillId="0" borderId="7" xfId="4" applyFont="1" applyFill="1" applyBorder="1" applyAlignment="1" applyProtection="1">
      <alignment horizontal="center" vertical="center" wrapText="1"/>
    </xf>
    <xf numFmtId="0" fontId="15" fillId="0" borderId="8" xfId="4" applyFont="1" applyFill="1" applyBorder="1" applyAlignment="1" applyProtection="1">
      <alignment horizontal="center" vertical="center" wrapText="1"/>
    </xf>
    <xf numFmtId="0" fontId="15" fillId="0" borderId="6" xfId="4" applyFont="1" applyFill="1" applyBorder="1" applyAlignment="1" applyProtection="1">
      <alignment horizontal="center" vertical="center" wrapText="1"/>
    </xf>
    <xf numFmtId="0" fontId="15" fillId="0" borderId="21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vertical="center" wrapText="1"/>
    </xf>
    <xf numFmtId="164" fontId="15" fillId="0" borderId="22" xfId="4" applyNumberFormat="1" applyFont="1" applyFill="1" applyBorder="1" applyAlignment="1" applyProtection="1">
      <alignment horizontal="right" vertical="center" wrapText="1" indent="1"/>
    </xf>
    <xf numFmtId="49" fontId="18" fillId="0" borderId="30" xfId="4" applyNumberFormat="1" applyFont="1" applyFill="1" applyBorder="1" applyAlignment="1" applyProtection="1">
      <alignment horizontal="left" vertical="center" wrapText="1" indent="1"/>
    </xf>
    <xf numFmtId="164" fontId="18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2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26" xfId="4" applyFont="1" applyFill="1" applyBorder="1" applyAlignment="1" applyProtection="1">
      <alignment horizontal="left" vertical="center" wrapText="1" indent="6"/>
    </xf>
    <xf numFmtId="0" fontId="18" fillId="0" borderId="11" xfId="4" applyFont="1" applyFill="1" applyBorder="1" applyAlignment="1" applyProtection="1">
      <alignment horizontal="left" indent="6"/>
    </xf>
    <xf numFmtId="0" fontId="18" fillId="0" borderId="11" xfId="4" applyFont="1" applyFill="1" applyBorder="1" applyAlignment="1" applyProtection="1">
      <alignment horizontal="left" vertical="center" wrapText="1" indent="6"/>
    </xf>
    <xf numFmtId="49" fontId="18" fillId="0" borderId="33" xfId="4" applyNumberFormat="1" applyFont="1" applyFill="1" applyBorder="1" applyAlignment="1" applyProtection="1">
      <alignment horizontal="left" vertical="center" wrapText="1" indent="1"/>
    </xf>
    <xf numFmtId="49" fontId="18" fillId="0" borderId="34" xfId="4" applyNumberFormat="1" applyFont="1" applyFill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7"/>
    </xf>
    <xf numFmtId="164" fontId="18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8" xfId="4" applyFont="1" applyFill="1" applyBorder="1" applyAlignment="1" applyProtection="1">
      <alignment horizontal="left" vertical="center" wrapText="1" indent="1"/>
    </xf>
    <xf numFmtId="0" fontId="15" fillId="0" borderId="29" xfId="4" applyFont="1" applyFill="1" applyBorder="1" applyAlignment="1" applyProtection="1">
      <alignment vertical="center" wrapText="1"/>
    </xf>
    <xf numFmtId="164" fontId="15" fillId="0" borderId="35" xfId="4" applyNumberFormat="1" applyFont="1" applyFill="1" applyBorder="1" applyAlignment="1" applyProtection="1">
      <alignment horizontal="right" vertical="center" wrapText="1" indent="1"/>
    </xf>
    <xf numFmtId="0" fontId="18" fillId="0" borderId="26" xfId="4" applyFont="1" applyFill="1" applyBorder="1" applyAlignment="1" applyProtection="1">
      <alignment horizontal="left" vertical="center" wrapText="1" indent="1"/>
    </xf>
    <xf numFmtId="164" fontId="1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3" xfId="4" applyFont="1" applyFill="1" applyBorder="1" applyAlignment="1" applyProtection="1">
      <alignment horizontal="left" vertical="center" wrapText="1" indent="6"/>
    </xf>
    <xf numFmtId="164" fontId="18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Border="1" applyAlignment="1" applyProtection="1">
      <alignment horizontal="right" vertical="center" wrapText="1" indent="1"/>
    </xf>
    <xf numFmtId="164" fontId="20" fillId="0" borderId="6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6" xfId="0" quotePrefix="1" applyNumberFormat="1" applyFont="1" applyBorder="1" applyAlignment="1" applyProtection="1">
      <alignment horizontal="right" vertical="center" wrapText="1" indent="1"/>
    </xf>
    <xf numFmtId="0" fontId="7" fillId="0" borderId="0" xfId="4" applyFont="1" applyFill="1" applyProtection="1"/>
    <xf numFmtId="0" fontId="20" fillId="0" borderId="28" xfId="0" applyFont="1" applyBorder="1" applyAlignment="1" applyProtection="1">
      <alignment horizontal="left" vertical="center" wrapText="1" indent="1"/>
    </xf>
    <xf numFmtId="0" fontId="21" fillId="0" borderId="29" xfId="0" applyFont="1" applyBorder="1" applyAlignment="1" applyProtection="1">
      <alignment horizontal="left" vertical="center" wrapText="1" indent="1"/>
    </xf>
    <xf numFmtId="0" fontId="2" fillId="0" borderId="0" xfId="4" applyFont="1" applyFill="1" applyAlignment="1" applyProtection="1">
      <alignment horizontal="right" vertical="center" indent="1"/>
    </xf>
    <xf numFmtId="0" fontId="15" fillId="0" borderId="8" xfId="4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31" xfId="0" quotePrefix="1" applyFont="1" applyFill="1" applyBorder="1" applyAlignment="1" applyProtection="1">
      <alignment horizontal="right" vertical="center" indent="1"/>
    </xf>
    <xf numFmtId="0" fontId="12" fillId="0" borderId="0" xfId="0" applyFont="1" applyFill="1" applyAlignment="1">
      <alignment vertical="center"/>
    </xf>
    <xf numFmtId="0" fontId="11" fillId="0" borderId="38" xfId="0" applyFont="1" applyFill="1" applyBorder="1" applyAlignment="1" applyProtection="1">
      <alignment vertical="center"/>
    </xf>
    <xf numFmtId="49" fontId="11" fillId="0" borderId="39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Alignment="1">
      <alignment vertical="center"/>
    </xf>
    <xf numFmtId="0" fontId="11" fillId="0" borderId="22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right" vertical="center" wrapText="1" indent="1"/>
    </xf>
    <xf numFmtId="0" fontId="27" fillId="0" borderId="13" xfId="0" applyFont="1" applyBorder="1" applyAlignment="1" applyProtection="1">
      <alignment horizontal="left" wrapText="1" indent="1"/>
    </xf>
    <xf numFmtId="0" fontId="27" fillId="0" borderId="11" xfId="0" applyFont="1" applyBorder="1" applyAlignment="1" applyProtection="1">
      <alignment horizontal="left" wrapText="1" indent="1"/>
    </xf>
    <xf numFmtId="0" fontId="27" fillId="0" borderId="11" xfId="0" quotePrefix="1" applyFont="1" applyBorder="1" applyAlignment="1" applyProtection="1">
      <alignment horizontal="left" wrapText="1" indent="1"/>
    </xf>
    <xf numFmtId="0" fontId="27" fillId="0" borderId="26" xfId="0" applyFont="1" applyBorder="1" applyAlignment="1" applyProtection="1">
      <alignment horizontal="left" wrapText="1" indent="1"/>
    </xf>
    <xf numFmtId="0" fontId="18" fillId="0" borderId="11" xfId="4" applyFont="1" applyFill="1" applyBorder="1" applyAlignment="1" applyProtection="1">
      <alignment horizontal="left" vertical="center" wrapText="1" indent="7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4" applyFont="1" applyFill="1" applyAlignment="1" applyProtection="1"/>
    <xf numFmtId="0" fontId="19" fillId="0" borderId="0" xfId="4" applyFont="1" applyFill="1"/>
    <xf numFmtId="164" fontId="29" fillId="0" borderId="0" xfId="4" applyNumberFormat="1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/>
    <xf numFmtId="0" fontId="15" fillId="0" borderId="30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31" xfId="4" applyFont="1" applyFill="1" applyBorder="1" applyAlignment="1" applyProtection="1">
      <alignment horizontal="center" vertical="center" wrapText="1"/>
    </xf>
    <xf numFmtId="0" fontId="18" fillId="0" borderId="7" xfId="4" applyFont="1" applyFill="1" applyBorder="1" applyAlignment="1" applyProtection="1">
      <alignment horizontal="center" vertical="center"/>
    </xf>
    <xf numFmtId="0" fontId="18" fillId="0" borderId="8" xfId="4" applyFont="1" applyFill="1" applyBorder="1" applyAlignment="1" applyProtection="1">
      <alignment horizontal="center" vertical="center"/>
    </xf>
    <xf numFmtId="0" fontId="18" fillId="0" borderId="6" xfId="4" applyFont="1" applyFill="1" applyBorder="1" applyAlignment="1" applyProtection="1">
      <alignment horizontal="center" vertical="center"/>
    </xf>
    <xf numFmtId="0" fontId="18" fillId="0" borderId="30" xfId="4" applyFont="1" applyFill="1" applyBorder="1" applyAlignment="1" applyProtection="1">
      <alignment horizontal="center" vertical="center"/>
    </xf>
    <xf numFmtId="0" fontId="18" fillId="0" borderId="2" xfId="4" applyFont="1" applyFill="1" applyBorder="1" applyProtection="1">
      <protection locked="0"/>
    </xf>
    <xf numFmtId="166" fontId="18" fillId="0" borderId="31" xfId="1" applyNumberFormat="1" applyFont="1" applyFill="1" applyBorder="1" applyProtection="1">
      <protection locked="0"/>
    </xf>
    <xf numFmtId="0" fontId="18" fillId="0" borderId="24" xfId="4" applyFont="1" applyFill="1" applyBorder="1" applyAlignment="1" applyProtection="1">
      <alignment horizontal="center" vertical="center"/>
    </xf>
    <xf numFmtId="0" fontId="18" fillId="0" borderId="11" xfId="4" applyFont="1" applyFill="1" applyBorder="1" applyProtection="1">
      <protection locked="0"/>
    </xf>
    <xf numFmtId="166" fontId="18" fillId="0" borderId="18" xfId="1" applyNumberFormat="1" applyFont="1" applyFill="1" applyBorder="1" applyProtection="1">
      <protection locked="0"/>
    </xf>
    <xf numFmtId="0" fontId="18" fillId="0" borderId="25" xfId="4" applyFont="1" applyFill="1" applyBorder="1" applyAlignment="1" applyProtection="1">
      <alignment horizontal="center" vertical="center"/>
    </xf>
    <xf numFmtId="0" fontId="18" fillId="0" borderId="26" xfId="4" applyFont="1" applyFill="1" applyBorder="1" applyProtection="1">
      <protection locked="0"/>
    </xf>
    <xf numFmtId="166" fontId="18" fillId="0" borderId="27" xfId="1" applyNumberFormat="1" applyFont="1" applyFill="1" applyBorder="1" applyProtection="1">
      <protection locked="0"/>
    </xf>
    <xf numFmtId="0" fontId="15" fillId="0" borderId="7" xfId="4" applyFont="1" applyFill="1" applyBorder="1" applyAlignment="1" applyProtection="1">
      <alignment horizontal="center" vertical="center"/>
    </xf>
    <xf numFmtId="0" fontId="15" fillId="0" borderId="8" xfId="4" applyFont="1" applyFill="1" applyBorder="1" applyAlignment="1" applyProtection="1">
      <alignment horizontal="left" vertical="center" wrapText="1"/>
    </xf>
    <xf numFmtId="166" fontId="15" fillId="0" borderId="6" xfId="1" applyNumberFormat="1" applyFont="1" applyFill="1" applyBorder="1" applyProtection="1"/>
    <xf numFmtId="0" fontId="29" fillId="0" borderId="0" xfId="4" applyFont="1" applyFill="1"/>
    <xf numFmtId="0" fontId="16" fillId="0" borderId="30" xfId="4" applyFont="1" applyFill="1" applyBorder="1" applyAlignment="1" applyProtection="1">
      <alignment horizontal="center" vertical="center" wrapText="1"/>
    </xf>
    <xf numFmtId="0" fontId="16" fillId="0" borderId="2" xfId="4" applyFont="1" applyFill="1" applyBorder="1" applyAlignment="1" applyProtection="1">
      <alignment horizontal="center" vertical="center" wrapText="1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8" xfId="4" applyFont="1" applyFill="1" applyBorder="1" applyAlignment="1" applyProtection="1">
      <alignment horizontal="center" vertical="center"/>
    </xf>
    <xf numFmtId="0" fontId="6" fillId="0" borderId="6" xfId="4" applyFont="1" applyFill="1" applyBorder="1" applyAlignment="1" applyProtection="1">
      <alignment horizontal="center" vertical="center"/>
    </xf>
    <xf numFmtId="0" fontId="6" fillId="0" borderId="30" xfId="4" applyFont="1" applyFill="1" applyBorder="1" applyAlignment="1" applyProtection="1">
      <alignment horizontal="center" vertical="center"/>
    </xf>
    <xf numFmtId="0" fontId="6" fillId="0" borderId="13" xfId="4" applyFont="1" applyFill="1" applyBorder="1" applyProtection="1"/>
    <xf numFmtId="166" fontId="6" fillId="0" borderId="40" xfId="1" applyNumberFormat="1" applyFont="1" applyFill="1" applyBorder="1" applyProtection="1">
      <protection locked="0"/>
    </xf>
    <xf numFmtId="0" fontId="6" fillId="0" borderId="24" xfId="4" applyFont="1" applyFill="1" applyBorder="1" applyAlignment="1" applyProtection="1">
      <alignment horizontal="center" vertical="center"/>
    </xf>
    <xf numFmtId="0" fontId="10" fillId="0" borderId="11" xfId="0" applyFont="1" applyBorder="1" applyAlignment="1">
      <alignment horizontal="justify" wrapText="1"/>
    </xf>
    <xf numFmtId="166" fontId="6" fillId="0" borderId="36" xfId="1" applyNumberFormat="1" applyFont="1" applyFill="1" applyBorder="1" applyProtection="1">
      <protection locked="0"/>
    </xf>
    <xf numFmtId="0" fontId="10" fillId="0" borderId="11" xfId="0" applyFont="1" applyBorder="1" applyAlignment="1">
      <alignment wrapText="1"/>
    </xf>
    <xf numFmtId="0" fontId="6" fillId="0" borderId="25" xfId="4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Protection="1">
      <protection locked="0"/>
    </xf>
    <xf numFmtId="0" fontId="10" fillId="0" borderId="3" xfId="0" applyFont="1" applyBorder="1" applyAlignment="1">
      <alignment wrapText="1"/>
    </xf>
    <xf numFmtId="166" fontId="16" fillId="0" borderId="6" xfId="1" applyNumberFormat="1" applyFont="1" applyFill="1" applyBorder="1" applyProtection="1"/>
    <xf numFmtId="172" fontId="14" fillId="0" borderId="26" xfId="4" applyNumberFormat="1" applyFont="1" applyFill="1" applyBorder="1" applyAlignment="1">
      <alignment horizontal="center" vertical="center" wrapText="1"/>
    </xf>
    <xf numFmtId="0" fontId="24" fillId="0" borderId="7" xfId="4" applyFont="1" applyFill="1" applyBorder="1" applyAlignment="1">
      <alignment horizontal="center" vertical="center"/>
    </xf>
    <xf numFmtId="0" fontId="24" fillId="0" borderId="8" xfId="4" applyFont="1" applyFill="1" applyBorder="1" applyAlignment="1">
      <alignment horizontal="center" vertical="center"/>
    </xf>
    <xf numFmtId="0" fontId="24" fillId="0" borderId="6" xfId="4" applyFont="1" applyFill="1" applyBorder="1" applyAlignment="1">
      <alignment horizontal="center" vertical="center"/>
    </xf>
    <xf numFmtId="0" fontId="24" fillId="0" borderId="23" xfId="4" applyFont="1" applyFill="1" applyBorder="1" applyAlignment="1">
      <alignment horizontal="center" vertical="center"/>
    </xf>
    <xf numFmtId="0" fontId="24" fillId="0" borderId="13" xfId="4" applyFont="1" applyFill="1" applyBorder="1" applyProtection="1">
      <protection locked="0"/>
    </xf>
    <xf numFmtId="166" fontId="24" fillId="0" borderId="13" xfId="1" applyNumberFormat="1" applyFont="1" applyFill="1" applyBorder="1" applyProtection="1">
      <protection locked="0"/>
    </xf>
    <xf numFmtId="166" fontId="24" fillId="0" borderId="14" xfId="1" applyNumberFormat="1" applyFont="1" applyFill="1" applyBorder="1"/>
    <xf numFmtId="0" fontId="24" fillId="0" borderId="24" xfId="4" applyFont="1" applyFill="1" applyBorder="1" applyAlignment="1">
      <alignment horizontal="center" vertical="center"/>
    </xf>
    <xf numFmtId="0" fontId="24" fillId="0" borderId="11" xfId="4" applyFont="1" applyFill="1" applyBorder="1" applyProtection="1">
      <protection locked="0"/>
    </xf>
    <xf numFmtId="166" fontId="24" fillId="0" borderId="11" xfId="1" applyNumberFormat="1" applyFont="1" applyFill="1" applyBorder="1" applyProtection="1">
      <protection locked="0"/>
    </xf>
    <xf numFmtId="166" fontId="24" fillId="0" borderId="18" xfId="1" applyNumberFormat="1" applyFont="1" applyFill="1" applyBorder="1"/>
    <xf numFmtId="0" fontId="24" fillId="0" borderId="25" xfId="4" applyFont="1" applyFill="1" applyBorder="1" applyAlignment="1">
      <alignment horizontal="center" vertical="center"/>
    </xf>
    <xf numFmtId="0" fontId="24" fillId="0" borderId="26" xfId="4" applyFont="1" applyFill="1" applyBorder="1" applyProtection="1">
      <protection locked="0"/>
    </xf>
    <xf numFmtId="166" fontId="24" fillId="0" borderId="26" xfId="1" applyNumberFormat="1" applyFont="1" applyFill="1" applyBorder="1" applyProtection="1">
      <protection locked="0"/>
    </xf>
    <xf numFmtId="0" fontId="14" fillId="0" borderId="7" xfId="4" applyFont="1" applyFill="1" applyBorder="1" applyAlignment="1">
      <alignment horizontal="center" vertical="center"/>
    </xf>
    <xf numFmtId="0" fontId="14" fillId="0" borderId="8" xfId="4" applyFont="1" applyFill="1" applyBorder="1"/>
    <xf numFmtId="166" fontId="14" fillId="0" borderId="8" xfId="4" applyNumberFormat="1" applyFont="1" applyFill="1" applyBorder="1"/>
    <xf numFmtId="166" fontId="14" fillId="0" borderId="6" xfId="4" applyNumberFormat="1" applyFont="1" applyFill="1" applyBorder="1"/>
    <xf numFmtId="49" fontId="34" fillId="0" borderId="0" xfId="0" applyNumberFormat="1" applyFont="1" applyFill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32" fillId="0" borderId="7" xfId="0" applyNumberFormat="1" applyFont="1" applyFill="1" applyBorder="1" applyAlignment="1" applyProtection="1">
      <alignment horizontal="centerContinuous" vertical="center" wrapText="1"/>
    </xf>
    <xf numFmtId="164" fontId="32" fillId="0" borderId="7" xfId="0" applyNumberFormat="1" applyFont="1" applyFill="1" applyBorder="1" applyAlignment="1" applyProtection="1">
      <alignment horizontal="center" vertical="center" wrapText="1"/>
    </xf>
    <xf numFmtId="164" fontId="32" fillId="0" borderId="8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 applyProtection="1">
      <alignment horizontal="center" vertical="center" wrapText="1"/>
    </xf>
    <xf numFmtId="164" fontId="16" fillId="0" borderId="41" xfId="0" applyNumberFormat="1" applyFont="1" applyFill="1" applyBorder="1" applyAlignment="1" applyProtection="1">
      <alignment horizontal="center" vertical="center" wrapText="1"/>
    </xf>
    <xf numFmtId="164" fontId="16" fillId="0" borderId="7" xfId="0" applyNumberFormat="1" applyFont="1" applyFill="1" applyBorder="1" applyAlignment="1" applyProtection="1">
      <alignment horizontal="center" vertical="center" wrapText="1"/>
    </xf>
    <xf numFmtId="164" fontId="16" fillId="0" borderId="6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left" vertical="center" wrapText="1" indent="1"/>
    </xf>
    <xf numFmtId="164" fontId="6" fillId="0" borderId="24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4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4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6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3" xfId="0" applyNumberFormat="1" applyFont="1" applyFill="1" applyBorder="1" applyAlignment="1" applyProtection="1">
      <alignment horizontal="left" vertical="center" wrapText="1" indent="1"/>
    </xf>
    <xf numFmtId="164" fontId="36" fillId="0" borderId="41" xfId="0" applyNumberFormat="1" applyFont="1" applyFill="1" applyBorder="1" applyAlignment="1" applyProtection="1">
      <alignment horizontal="left" vertical="center" wrapText="1" indent="1"/>
    </xf>
    <xf numFmtId="164" fontId="16" fillId="0" borderId="7" xfId="0" applyNumberFormat="1" applyFont="1" applyFill="1" applyBorder="1" applyAlignment="1" applyProtection="1">
      <alignment horizontal="left" vertical="center" wrapText="1" indent="1"/>
    </xf>
    <xf numFmtId="164" fontId="37" fillId="0" borderId="33" xfId="0" applyNumberFormat="1" applyFont="1" applyFill="1" applyBorder="1" applyAlignment="1" applyProtection="1">
      <alignment horizontal="left" vertical="center" wrapText="1" indent="1"/>
    </xf>
    <xf numFmtId="164" fontId="6" fillId="0" borderId="24" xfId="0" applyNumberFormat="1" applyFont="1" applyFill="1" applyBorder="1" applyAlignment="1" applyProtection="1">
      <alignment horizontal="left" vertical="center" wrapText="1" indent="2"/>
    </xf>
    <xf numFmtId="164" fontId="6" fillId="0" borderId="11" xfId="0" applyNumberFormat="1" applyFont="1" applyFill="1" applyBorder="1" applyAlignment="1" applyProtection="1">
      <alignment horizontal="left" vertical="center" wrapText="1" indent="2"/>
    </xf>
    <xf numFmtId="164" fontId="37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3" xfId="0" applyNumberFormat="1" applyFont="1" applyFill="1" applyBorder="1" applyAlignment="1" applyProtection="1">
      <alignment horizontal="left" vertical="center" wrapText="1" indent="2"/>
    </xf>
    <xf numFmtId="164" fontId="6" fillId="0" borderId="25" xfId="0" applyNumberFormat="1" applyFont="1" applyFill="1" applyBorder="1" applyAlignment="1" applyProtection="1">
      <alignment horizontal="left" vertical="center" wrapText="1" indent="2"/>
    </xf>
    <xf numFmtId="164" fontId="36" fillId="0" borderId="7" xfId="0" applyNumberFormat="1" applyFont="1" applyFill="1" applyBorder="1" applyAlignment="1" applyProtection="1">
      <alignment horizontal="left" vertical="center" wrapText="1" inden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8" fillId="0" borderId="0" xfId="0" applyNumberFormat="1" applyFont="1" applyFill="1" applyAlignment="1" applyProtection="1">
      <alignment horizontal="right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horizontal="center" vertical="center" wrapText="1"/>
    </xf>
    <xf numFmtId="3" fontId="7" fillId="0" borderId="19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 wrapText="1"/>
    </xf>
    <xf numFmtId="3" fontId="7" fillId="0" borderId="43" xfId="0" applyNumberFormat="1" applyFont="1" applyFill="1" applyBorder="1" applyAlignment="1" applyProtection="1">
      <alignment horizontal="center" vertical="center" wrapText="1"/>
    </xf>
    <xf numFmtId="3" fontId="8" fillId="0" borderId="4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7" fillId="0" borderId="28" xfId="0" applyNumberFormat="1" applyFont="1" applyFill="1" applyBorder="1" applyAlignment="1" applyProtection="1">
      <alignment horizontal="center" vertical="center" wrapText="1"/>
    </xf>
    <xf numFmtId="3" fontId="7" fillId="0" borderId="44" xfId="0" applyNumberFormat="1" applyFont="1" applyFill="1" applyBorder="1" applyAlignment="1" applyProtection="1">
      <alignment horizontal="center" vertical="center" wrapText="1"/>
    </xf>
    <xf numFmtId="3" fontId="7" fillId="0" borderId="29" xfId="0" applyNumberFormat="1" applyFont="1" applyFill="1" applyBorder="1" applyAlignment="1" applyProtection="1">
      <alignment horizontal="center" vertical="center" wrapText="1"/>
    </xf>
    <xf numFmtId="3" fontId="7" fillId="0" borderId="35" xfId="0" applyNumberFormat="1" applyFont="1" applyFill="1" applyBorder="1" applyAlignment="1" applyProtection="1">
      <alignment horizontal="center" vertical="center" wrapText="1"/>
    </xf>
    <xf numFmtId="3" fontId="7" fillId="0" borderId="45" xfId="0" applyNumberFormat="1" applyFont="1" applyFill="1" applyBorder="1" applyAlignment="1" applyProtection="1">
      <alignment horizontal="center" vertical="center" wrapText="1"/>
    </xf>
    <xf numFmtId="3" fontId="7" fillId="0" borderId="46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8" fillId="0" borderId="23" xfId="4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8" fillId="0" borderId="24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18" fillId="0" borderId="25" xfId="4" applyNumberFormat="1" applyFont="1" applyFill="1" applyBorder="1" applyAlignment="1" applyProtection="1">
      <alignment horizontal="center" vertical="center" wrapText="1"/>
    </xf>
    <xf numFmtId="0" fontId="20" fillId="0" borderId="7" xfId="0" applyFont="1" applyBorder="1" applyAlignment="1" applyProtection="1">
      <alignment horizontal="center" wrapText="1"/>
    </xf>
    <xf numFmtId="0" fontId="25" fillId="0" borderId="26" xfId="0" applyFont="1" applyBorder="1" applyAlignment="1" applyProtection="1">
      <alignment wrapText="1"/>
    </xf>
    <xf numFmtId="0" fontId="25" fillId="0" borderId="23" xfId="0" applyFont="1" applyBorder="1" applyAlignment="1" applyProtection="1">
      <alignment horizontal="center" wrapText="1"/>
    </xf>
    <xf numFmtId="0" fontId="25" fillId="0" borderId="24" xfId="0" applyFont="1" applyBorder="1" applyAlignment="1" applyProtection="1">
      <alignment horizontal="center" wrapText="1"/>
    </xf>
    <xf numFmtId="0" fontId="25" fillId="0" borderId="25" xfId="0" applyFont="1" applyBorder="1" applyAlignment="1" applyProtection="1">
      <alignment horizontal="center" wrapText="1"/>
    </xf>
    <xf numFmtId="0" fontId="20" fillId="0" borderId="28" xfId="0" applyFont="1" applyBorder="1" applyAlignment="1" applyProtection="1">
      <alignment horizontal="center" wrapText="1"/>
    </xf>
    <xf numFmtId="0" fontId="22" fillId="0" borderId="0" xfId="0" applyFont="1" applyFill="1" applyAlignment="1">
      <alignment vertical="center" wrapText="1"/>
    </xf>
    <xf numFmtId="49" fontId="18" fillId="0" borderId="30" xfId="4" applyNumberFormat="1" applyFont="1" applyFill="1" applyBorder="1" applyAlignment="1" applyProtection="1">
      <alignment horizontal="center" vertical="center" wrapText="1"/>
    </xf>
    <xf numFmtId="49" fontId="18" fillId="0" borderId="33" xfId="4" applyNumberFormat="1" applyFont="1" applyFill="1" applyBorder="1" applyAlignment="1" applyProtection="1">
      <alignment horizontal="center" vertical="center" wrapText="1"/>
    </xf>
    <xf numFmtId="49" fontId="18" fillId="0" borderId="34" xfId="4" applyNumberFormat="1" applyFont="1" applyFill="1" applyBorder="1" applyAlignment="1" applyProtection="1">
      <alignment horizontal="center" vertical="center" wrapText="1"/>
    </xf>
    <xf numFmtId="0" fontId="18" fillId="0" borderId="3" xfId="4" applyFont="1" applyFill="1" applyBorder="1" applyAlignment="1" applyProtection="1">
      <alignment horizontal="left" vertical="center" wrapText="1" indent="6"/>
    </xf>
    <xf numFmtId="49" fontId="16" fillId="0" borderId="7" xfId="4" applyNumberFormat="1" applyFont="1" applyFill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164" fontId="36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5" fillId="0" borderId="0" xfId="0" applyNumberFormat="1" applyFont="1" applyFill="1" applyAlignment="1" applyProtection="1">
      <alignment horizontal="right" wrapText="1"/>
    </xf>
    <xf numFmtId="164" fontId="35" fillId="0" borderId="0" xfId="0" applyNumberFormat="1" applyFont="1" applyFill="1" applyAlignment="1" applyProtection="1">
      <alignment horizontal="center" vertical="center" wrapText="1"/>
    </xf>
    <xf numFmtId="164" fontId="36" fillId="0" borderId="7" xfId="0" applyNumberFormat="1" applyFont="1" applyFill="1" applyBorder="1" applyAlignment="1" applyProtection="1">
      <alignment horizontal="center" vertical="center" wrapText="1"/>
    </xf>
    <xf numFmtId="164" fontId="36" fillId="0" borderId="19" xfId="0" applyNumberFormat="1" applyFont="1" applyFill="1" applyBorder="1" applyAlignment="1" applyProtection="1">
      <alignment horizontal="center" vertical="center" wrapText="1"/>
    </xf>
    <xf numFmtId="164" fontId="36" fillId="0" borderId="8" xfId="0" applyNumberFormat="1" applyFont="1" applyFill="1" applyBorder="1" applyAlignment="1" applyProtection="1">
      <alignment horizontal="center" vertical="center" wrapText="1"/>
    </xf>
    <xf numFmtId="164" fontId="36" fillId="0" borderId="6" xfId="0" applyNumberFormat="1" applyFont="1" applyFill="1" applyBorder="1" applyAlignment="1" applyProtection="1">
      <alignment horizontal="center" vertical="center" wrapText="1"/>
    </xf>
    <xf numFmtId="164" fontId="36" fillId="0" borderId="43" xfId="0" applyNumberFormat="1" applyFont="1" applyFill="1" applyBorder="1" applyAlignment="1" applyProtection="1">
      <alignment horizontal="center" vertical="center" wrapText="1"/>
    </xf>
    <xf numFmtId="164" fontId="35" fillId="0" borderId="4" xfId="0" applyNumberFormat="1" applyFont="1" applyFill="1" applyBorder="1" applyAlignment="1" applyProtection="1">
      <alignment horizontal="center" vertical="center" wrapText="1"/>
    </xf>
    <xf numFmtId="164" fontId="35" fillId="0" borderId="8" xfId="0" applyNumberFormat="1" applyFont="1" applyFill="1" applyBorder="1" applyAlignment="1" applyProtection="1">
      <alignment horizontal="center" vertical="center" wrapText="1"/>
    </xf>
    <xf numFmtId="164" fontId="36" fillId="0" borderId="28" xfId="0" applyNumberFormat="1" applyFont="1" applyFill="1" applyBorder="1" applyAlignment="1" applyProtection="1">
      <alignment horizontal="center" vertical="center" wrapText="1"/>
    </xf>
    <xf numFmtId="164" fontId="36" fillId="0" borderId="44" xfId="0" applyNumberFormat="1" applyFont="1" applyFill="1" applyBorder="1" applyAlignment="1" applyProtection="1">
      <alignment horizontal="center" vertical="center" wrapText="1"/>
    </xf>
    <xf numFmtId="164" fontId="36" fillId="0" borderId="29" xfId="0" applyNumberFormat="1" applyFont="1" applyFill="1" applyBorder="1" applyAlignment="1" applyProtection="1">
      <alignment horizontal="center" vertical="center" wrapText="1"/>
    </xf>
    <xf numFmtId="164" fontId="36" fillId="0" borderId="35" xfId="0" applyNumberFormat="1" applyFont="1" applyFill="1" applyBorder="1" applyAlignment="1" applyProtection="1">
      <alignment horizontal="center" vertical="center" wrapText="1"/>
    </xf>
    <xf numFmtId="164" fontId="36" fillId="0" borderId="45" xfId="0" applyNumberFormat="1" applyFont="1" applyFill="1" applyBorder="1" applyAlignment="1" applyProtection="1">
      <alignment horizontal="center" vertical="center" wrapText="1"/>
    </xf>
    <xf numFmtId="164" fontId="36" fillId="0" borderId="46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0" xfId="0" applyNumberFormat="1" applyFont="1" applyFill="1" applyAlignment="1">
      <alignment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horizontal="center" vertical="center" wrapText="1"/>
    </xf>
    <xf numFmtId="0" fontId="24" fillId="0" borderId="0" xfId="4" applyFont="1" applyFill="1"/>
    <xf numFmtId="0" fontId="14" fillId="0" borderId="7" xfId="4" applyFont="1" applyFill="1" applyBorder="1" applyAlignment="1" applyProtection="1">
      <alignment horizontal="left" vertical="center" wrapText="1" indent="1"/>
    </xf>
    <xf numFmtId="0" fontId="14" fillId="0" borderId="8" xfId="4" applyFont="1" applyFill="1" applyBorder="1" applyAlignment="1" applyProtection="1">
      <alignment horizontal="left" vertical="center" wrapText="1" indent="1"/>
    </xf>
    <xf numFmtId="49" fontId="24" fillId="0" borderId="23" xfId="4" applyNumberFormat="1" applyFont="1" applyFill="1" applyBorder="1" applyAlignment="1" applyProtection="1">
      <alignment horizontal="left" vertical="center" wrapText="1" indent="1"/>
    </xf>
    <xf numFmtId="49" fontId="24" fillId="0" borderId="24" xfId="4" applyNumberFormat="1" applyFont="1" applyFill="1" applyBorder="1" applyAlignment="1" applyProtection="1">
      <alignment horizontal="left" vertical="center" wrapText="1" indent="1"/>
    </xf>
    <xf numFmtId="0" fontId="27" fillId="0" borderId="11" xfId="0" applyFont="1" applyBorder="1" applyAlignment="1" applyProtection="1">
      <alignment horizontal="left" vertical="center" wrapText="1" indent="1"/>
    </xf>
    <xf numFmtId="49" fontId="24" fillId="0" borderId="25" xfId="4" applyNumberFormat="1" applyFont="1" applyFill="1" applyBorder="1" applyAlignment="1" applyProtection="1">
      <alignment horizontal="left" vertical="center" wrapText="1" indent="1"/>
    </xf>
    <xf numFmtId="0" fontId="27" fillId="0" borderId="26" xfId="0" applyFont="1" applyBorder="1" applyAlignment="1" applyProtection="1">
      <alignment horizontal="left" vertical="center" wrapText="1" indent="1"/>
    </xf>
    <xf numFmtId="0" fontId="39" fillId="0" borderId="8" xfId="0" applyFont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/>
    </xf>
    <xf numFmtId="0" fontId="39" fillId="0" borderId="7" xfId="0" applyFont="1" applyBorder="1" applyAlignment="1" applyProtection="1">
      <alignment vertical="center" wrapText="1"/>
    </xf>
    <xf numFmtId="0" fontId="27" fillId="0" borderId="26" xfId="0" applyFont="1" applyBorder="1" applyAlignment="1" applyProtection="1">
      <alignment vertical="center" wrapText="1"/>
    </xf>
    <xf numFmtId="0" fontId="27" fillId="0" borderId="23" xfId="0" applyFont="1" applyBorder="1" applyAlignment="1" applyProtection="1">
      <alignment wrapText="1"/>
    </xf>
    <xf numFmtId="0" fontId="27" fillId="0" borderId="24" xfId="0" applyFont="1" applyBorder="1" applyAlignment="1" applyProtection="1">
      <alignment wrapText="1"/>
    </xf>
    <xf numFmtId="0" fontId="27" fillId="0" borderId="25" xfId="0" applyFont="1" applyBorder="1" applyAlignment="1" applyProtection="1">
      <alignment wrapText="1"/>
    </xf>
    <xf numFmtId="0" fontId="39" fillId="0" borderId="8" xfId="0" applyFont="1" applyBorder="1" applyAlignment="1" applyProtection="1">
      <alignment wrapText="1"/>
    </xf>
    <xf numFmtId="0" fontId="39" fillId="0" borderId="28" xfId="0" applyFont="1" applyBorder="1" applyAlignment="1" applyProtection="1">
      <alignment horizontal="center" vertical="center" wrapText="1"/>
    </xf>
    <xf numFmtId="0" fontId="39" fillId="0" borderId="29" xfId="0" applyFont="1" applyBorder="1" applyAlignment="1" applyProtection="1">
      <alignment wrapText="1"/>
    </xf>
    <xf numFmtId="0" fontId="14" fillId="0" borderId="21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vertical="center" wrapText="1"/>
    </xf>
    <xf numFmtId="49" fontId="24" fillId="0" borderId="30" xfId="4" applyNumberFormat="1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11" xfId="4" applyFont="1" applyFill="1" applyBorder="1" applyAlignment="1" applyProtection="1">
      <alignment horizontal="left" vertical="center" wrapText="1" indent="1"/>
    </xf>
    <xf numFmtId="0" fontId="24" fillId="0" borderId="32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4" fillId="0" borderId="26" xfId="4" applyFont="1" applyFill="1" applyBorder="1" applyAlignment="1" applyProtection="1">
      <alignment horizontal="left" vertical="center" wrapText="1" indent="6"/>
    </xf>
    <xf numFmtId="0" fontId="24" fillId="0" borderId="11" xfId="4" applyFont="1" applyFill="1" applyBorder="1" applyAlignment="1" applyProtection="1">
      <alignment horizontal="left" indent="6"/>
    </xf>
    <xf numFmtId="0" fontId="24" fillId="0" borderId="11" xfId="4" applyFont="1" applyFill="1" applyBorder="1" applyAlignment="1" applyProtection="1">
      <alignment horizontal="left" vertical="center" wrapText="1" indent="6"/>
    </xf>
    <xf numFmtId="49" fontId="24" fillId="0" borderId="33" xfId="4" applyNumberFormat="1" applyFont="1" applyFill="1" applyBorder="1" applyAlignment="1" applyProtection="1">
      <alignment horizontal="left" vertical="center" wrapText="1" indent="1"/>
    </xf>
    <xf numFmtId="49" fontId="24" fillId="0" borderId="34" xfId="4" applyNumberFormat="1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7"/>
    </xf>
    <xf numFmtId="0" fontId="14" fillId="0" borderId="28" xfId="4" applyFont="1" applyFill="1" applyBorder="1" applyAlignment="1" applyProtection="1">
      <alignment horizontal="left" vertical="center" wrapText="1" indent="1"/>
    </xf>
    <xf numFmtId="0" fontId="14" fillId="0" borderId="29" xfId="4" applyFont="1" applyFill="1" applyBorder="1" applyAlignment="1" applyProtection="1">
      <alignment vertical="center" wrapText="1"/>
    </xf>
    <xf numFmtId="0" fontId="24" fillId="0" borderId="26" xfId="4" applyFont="1" applyFill="1" applyBorder="1" applyAlignment="1" applyProtection="1">
      <alignment horizontal="left" vertical="center" wrapText="1" indent="1"/>
    </xf>
    <xf numFmtId="0" fontId="24" fillId="0" borderId="13" xfId="4" applyFont="1" applyFill="1" applyBorder="1" applyAlignment="1" applyProtection="1">
      <alignment horizontal="left" vertical="center" wrapText="1" indent="6"/>
    </xf>
    <xf numFmtId="0" fontId="36" fillId="0" borderId="8" xfId="4" applyFont="1" applyFill="1" applyBorder="1" applyAlignment="1" applyProtection="1">
      <alignment horizontal="left" vertical="center" wrapText="1" indent="1"/>
    </xf>
    <xf numFmtId="0" fontId="24" fillId="0" borderId="13" xfId="4" applyFont="1" applyFill="1" applyBorder="1" applyAlignment="1" applyProtection="1">
      <alignment horizontal="left" vertical="center" wrapText="1" indent="1"/>
    </xf>
    <xf numFmtId="0" fontId="24" fillId="0" borderId="12" xfId="4" applyFont="1" applyFill="1" applyBorder="1" applyAlignment="1" applyProtection="1">
      <alignment horizontal="left" vertical="center" wrapText="1" indent="1"/>
    </xf>
    <xf numFmtId="0" fontId="36" fillId="0" borderId="29" xfId="4" applyFont="1" applyFill="1" applyBorder="1" applyAlignment="1" applyProtection="1">
      <alignment horizontal="left" vertical="center" wrapText="1" indent="1"/>
    </xf>
    <xf numFmtId="0" fontId="39" fillId="0" borderId="28" xfId="0" applyFont="1" applyBorder="1" applyAlignment="1" applyProtection="1">
      <alignment horizontal="left" vertical="center" wrapText="1" indent="1"/>
    </xf>
    <xf numFmtId="0" fontId="39" fillId="0" borderId="29" xfId="0" applyFont="1" applyBorder="1" applyAlignment="1" applyProtection="1">
      <alignment horizontal="left" vertical="center" wrapText="1" indent="1"/>
    </xf>
    <xf numFmtId="0" fontId="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1" fillId="0" borderId="0" xfId="0" applyFont="1" applyFill="1" applyProtection="1">
      <protection locked="0"/>
    </xf>
    <xf numFmtId="0" fontId="41" fillId="0" borderId="0" xfId="0" applyFont="1" applyFill="1" applyProtection="1"/>
    <xf numFmtId="0" fontId="41" fillId="0" borderId="0" xfId="0" applyFont="1" applyFill="1"/>
    <xf numFmtId="0" fontId="32" fillId="0" borderId="7" xfId="0" applyFont="1" applyFill="1" applyBorder="1" applyAlignment="1" applyProtection="1">
      <alignment horizontal="center" vertical="center" wrapText="1"/>
    </xf>
    <xf numFmtId="0" fontId="32" fillId="0" borderId="8" xfId="0" applyFont="1" applyFill="1" applyBorder="1" applyAlignment="1" applyProtection="1">
      <alignment horizontal="center" vertical="center" wrapText="1"/>
    </xf>
    <xf numFmtId="0" fontId="32" fillId="0" borderId="6" xfId="0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vertical="center"/>
      <protection locked="0"/>
    </xf>
    <xf numFmtId="164" fontId="16" fillId="0" borderId="14" xfId="0" applyNumberFormat="1" applyFon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vertical="center"/>
      <protection locked="0"/>
    </xf>
    <xf numFmtId="164" fontId="16" fillId="0" borderId="18" xfId="0" applyNumberFormat="1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vertical="center" wrapText="1"/>
    </xf>
    <xf numFmtId="164" fontId="6" fillId="0" borderId="26" xfId="0" applyNumberFormat="1" applyFont="1" applyFill="1" applyBorder="1" applyAlignment="1" applyProtection="1">
      <alignment vertical="center"/>
      <protection locked="0"/>
    </xf>
    <xf numFmtId="164" fontId="16" fillId="0" borderId="27" xfId="0" applyNumberFormat="1" applyFont="1" applyFill="1" applyBorder="1" applyAlignment="1" applyProtection="1">
      <alignment vertical="center"/>
    </xf>
    <xf numFmtId="0" fontId="16" fillId="0" borderId="7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vertical="center"/>
    </xf>
    <xf numFmtId="164" fontId="16" fillId="0" borderId="6" xfId="0" applyNumberFormat="1" applyFont="1" applyFill="1" applyBorder="1" applyAlignment="1" applyProtection="1">
      <alignment vertical="center"/>
    </xf>
    <xf numFmtId="0" fontId="36" fillId="0" borderId="0" xfId="0" applyFont="1" applyFill="1"/>
    <xf numFmtId="0" fontId="0" fillId="0" borderId="47" xfId="0" applyFont="1" applyFill="1" applyBorder="1" applyProtection="1"/>
    <xf numFmtId="0" fontId="35" fillId="0" borderId="47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5" fillId="0" borderId="0" xfId="0" applyFont="1" applyFill="1" applyBorder="1" applyAlignment="1">
      <alignment horizontal="center"/>
    </xf>
    <xf numFmtId="164" fontId="35" fillId="0" borderId="0" xfId="0" applyNumberFormat="1" applyFont="1" applyFill="1" applyAlignment="1" applyProtection="1">
      <alignment horizontal="right"/>
    </xf>
    <xf numFmtId="164" fontId="40" fillId="0" borderId="0" xfId="0" applyNumberFormat="1" applyFont="1" applyFill="1" applyAlignment="1" applyProtection="1">
      <alignment vertical="center"/>
    </xf>
    <xf numFmtId="164" fontId="32" fillId="0" borderId="48" xfId="0" applyNumberFormat="1" applyFont="1" applyFill="1" applyBorder="1" applyAlignment="1" applyProtection="1">
      <alignment horizontal="center" vertical="center"/>
    </xf>
    <xf numFmtId="164" fontId="32" fillId="0" borderId="16" xfId="0" applyNumberFormat="1" applyFont="1" applyFill="1" applyBorder="1" applyAlignment="1" applyProtection="1">
      <alignment horizontal="center" vertical="center" wrapText="1"/>
    </xf>
    <xf numFmtId="164" fontId="40" fillId="0" borderId="0" xfId="0" applyNumberFormat="1" applyFont="1" applyFill="1" applyAlignment="1" applyProtection="1">
      <alignment horizontal="center" vertical="center"/>
    </xf>
    <xf numFmtId="164" fontId="16" fillId="0" borderId="4" xfId="0" applyNumberFormat="1" applyFont="1" applyFill="1" applyBorder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center" vertical="center" wrapText="1"/>
    </xf>
    <xf numFmtId="164" fontId="16" fillId="0" borderId="49" xfId="0" applyNumberFormat="1" applyFont="1" applyFill="1" applyBorder="1" applyAlignment="1" applyProtection="1">
      <alignment horizontal="center" vertical="center" wrapText="1"/>
    </xf>
    <xf numFmtId="164" fontId="40" fillId="0" borderId="0" xfId="0" applyNumberFormat="1" applyFont="1" applyFill="1" applyAlignment="1" applyProtection="1">
      <alignment horizontal="center" vertical="center" wrapText="1"/>
    </xf>
    <xf numFmtId="164" fontId="16" fillId="0" borderId="41" xfId="0" applyNumberFormat="1" applyFont="1" applyFill="1" applyBorder="1" applyAlignment="1" applyProtection="1">
      <alignment horizontal="left" vertical="center" wrapText="1" inden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1" xfId="0" applyNumberFormat="1" applyFont="1" applyFill="1" applyBorder="1" applyAlignment="1" applyProtection="1">
      <alignment vertical="center" wrapText="1"/>
    </xf>
    <xf numFmtId="164" fontId="6" fillId="0" borderId="7" xfId="0" applyNumberFormat="1" applyFont="1" applyFill="1" applyBorder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6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0" xfId="0" applyNumberFormat="1" applyFont="1" applyFill="1" applyBorder="1" applyAlignment="1" applyProtection="1">
      <alignment vertical="center" wrapText="1"/>
      <protection locked="0"/>
    </xf>
    <xf numFmtId="164" fontId="6" fillId="0" borderId="24" xfId="0" applyNumberFormat="1" applyFont="1" applyFill="1" applyBorder="1" applyAlignment="1" applyProtection="1">
      <alignment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8" xfId="0" applyNumberFormat="1" applyFont="1" applyFill="1" applyBorder="1" applyAlignment="1" applyProtection="1">
      <alignment vertical="center" wrapText="1"/>
      <protection locked="0"/>
    </xf>
    <xf numFmtId="164" fontId="6" fillId="0" borderId="50" xfId="0" applyNumberFormat="1" applyFont="1" applyFill="1" applyBorder="1" applyAlignment="1" applyProtection="1">
      <alignment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6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1" xfId="0" applyNumberFormat="1" applyFont="1" applyFill="1" applyBorder="1" applyAlignment="1" applyProtection="1">
      <alignment vertical="center" wrapText="1"/>
      <protection locked="0"/>
    </xf>
    <xf numFmtId="164" fontId="6" fillId="0" borderId="25" xfId="0" applyNumberFormat="1" applyFont="1" applyFill="1" applyBorder="1" applyAlignment="1" applyProtection="1">
      <alignment vertical="center" wrapText="1"/>
      <protection locked="0"/>
    </xf>
    <xf numFmtId="164" fontId="6" fillId="0" borderId="26" xfId="0" applyNumberFormat="1" applyFont="1" applyFill="1" applyBorder="1" applyAlignment="1" applyProtection="1">
      <alignment vertical="center" wrapText="1"/>
      <protection locked="0"/>
    </xf>
    <xf numFmtId="164" fontId="6" fillId="0" borderId="27" xfId="0" applyNumberFormat="1" applyFont="1" applyFill="1" applyBorder="1" applyAlignment="1" applyProtection="1">
      <alignment vertical="center" wrapText="1"/>
      <protection locked="0"/>
    </xf>
    <xf numFmtId="164" fontId="6" fillId="0" borderId="51" xfId="0" applyNumberFormat="1" applyFont="1" applyFill="1" applyBorder="1" applyAlignment="1" applyProtection="1">
      <alignment vertical="center" wrapText="1"/>
    </xf>
    <xf numFmtId="164" fontId="16" fillId="0" borderId="33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9" xfId="0" applyNumberFormat="1" applyFont="1" applyFill="1" applyBorder="1" applyAlignment="1" applyProtection="1">
      <alignment vertical="center" wrapText="1"/>
      <protection locked="0"/>
    </xf>
    <xf numFmtId="164" fontId="6" fillId="0" borderId="33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164" fontId="6" fillId="0" borderId="49" xfId="0" applyNumberFormat="1" applyFont="1" applyFill="1" applyBorder="1" applyAlignment="1" applyProtection="1">
      <alignment vertical="center" wrapText="1"/>
    </xf>
    <xf numFmtId="164" fontId="0" fillId="2" borderId="43" xfId="0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7" fillId="0" borderId="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right" vertical="center" indent="1"/>
    </xf>
    <xf numFmtId="0" fontId="2" fillId="0" borderId="11" xfId="0" applyFont="1" applyBorder="1" applyAlignment="1" applyProtection="1">
      <alignment horizontal="left" vertical="center" indent="1"/>
      <protection locked="0"/>
    </xf>
    <xf numFmtId="3" fontId="2" fillId="0" borderId="18" xfId="0" applyNumberFormat="1" applyFont="1" applyBorder="1" applyAlignment="1" applyProtection="1">
      <alignment horizontal="right" vertical="center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vertical="center"/>
    </xf>
    <xf numFmtId="3" fontId="8" fillId="0" borderId="19" xfId="0" applyNumberFormat="1" applyFont="1" applyBorder="1" applyAlignment="1">
      <alignment vertic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42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42" fillId="0" borderId="1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44" fillId="0" borderId="11" xfId="0" applyFont="1" applyFill="1" applyBorder="1" applyAlignment="1" applyProtection="1">
      <alignment horizontal="center" vertical="center" wrapText="1"/>
    </xf>
    <xf numFmtId="164" fontId="44" fillId="0" borderId="11" xfId="0" applyNumberFormat="1" applyFont="1" applyFill="1" applyBorder="1" applyAlignment="1" applyProtection="1">
      <alignment horizontal="right" vertical="center" wrapText="1"/>
    </xf>
    <xf numFmtId="0" fontId="45" fillId="0" borderId="11" xfId="0" applyFont="1" applyFill="1" applyBorder="1" applyAlignment="1" applyProtection="1">
      <alignment horizontal="left" vertical="center" wrapText="1"/>
      <protection locked="0"/>
    </xf>
    <xf numFmtId="164" fontId="4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46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11" xfId="0" applyFont="1" applyFill="1" applyBorder="1" applyAlignment="1" applyProtection="1">
      <alignment horizontal="right" vertical="center" wrapText="1"/>
      <protection locked="0"/>
    </xf>
    <xf numFmtId="3" fontId="4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11" xfId="0" applyFont="1" applyFill="1" applyBorder="1" applyAlignment="1" applyProtection="1">
      <alignment horizontal="center" vertical="center" wrapText="1"/>
      <protection locked="0"/>
    </xf>
    <xf numFmtId="164" fontId="4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5" fillId="0" borderId="11" xfId="0" applyFont="1" applyFill="1" applyBorder="1" applyAlignment="1" applyProtection="1">
      <alignment vertical="center" wrapText="1"/>
      <protection locked="0"/>
    </xf>
    <xf numFmtId="164" fontId="45" fillId="0" borderId="11" xfId="0" applyNumberFormat="1" applyFont="1" applyFill="1" applyBorder="1" applyAlignment="1" applyProtection="1">
      <alignment vertical="center" wrapText="1"/>
      <protection locked="0"/>
    </xf>
    <xf numFmtId="164" fontId="45" fillId="0" borderId="11" xfId="0" applyNumberFormat="1" applyFont="1" applyFill="1" applyBorder="1" applyAlignment="1" applyProtection="1">
      <alignment horizontal="left" vertical="center" wrapText="1"/>
      <protection locked="0"/>
    </xf>
    <xf numFmtId="3" fontId="45" fillId="0" borderId="11" xfId="0" applyNumberFormat="1" applyFont="1" applyFill="1" applyBorder="1"/>
    <xf numFmtId="3" fontId="4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44" fillId="0" borderId="11" xfId="0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horizontal="right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 applyProtection="1">
      <alignment horizontal="left" vertical="center" wrapText="1" indent="1"/>
    </xf>
    <xf numFmtId="164" fontId="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4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 applyProtection="1">
      <alignment horizontal="left" vertical="center" wrapText="1" indent="1"/>
    </xf>
    <xf numFmtId="164" fontId="6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2" xfId="0" applyFont="1" applyFill="1" applyBorder="1" applyAlignment="1" applyProtection="1">
      <alignment horizontal="left" vertical="center" wrapText="1" indent="8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164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 applyProtection="1">
      <alignment vertical="center" wrapText="1"/>
    </xf>
    <xf numFmtId="164" fontId="16" fillId="0" borderId="29" xfId="0" applyNumberFormat="1" applyFont="1" applyFill="1" applyBorder="1" applyAlignment="1" applyProtection="1">
      <alignment vertical="center" wrapText="1"/>
    </xf>
    <xf numFmtId="164" fontId="16" fillId="0" borderId="35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2" fillId="0" borderId="55" xfId="4" applyFont="1" applyFill="1" applyBorder="1" applyAlignment="1" applyProtection="1">
      <alignment horizontal="center" vertical="center" wrapText="1"/>
    </xf>
    <xf numFmtId="0" fontId="12" fillId="0" borderId="55" xfId="4" applyFont="1" applyFill="1" applyBorder="1" applyAlignment="1" applyProtection="1">
      <alignment vertical="center" wrapText="1"/>
    </xf>
    <xf numFmtId="0" fontId="24" fillId="0" borderId="0" xfId="4" applyFont="1" applyFill="1" applyBorder="1" applyProtection="1"/>
    <xf numFmtId="0" fontId="16" fillId="0" borderId="29" xfId="4" applyFont="1" applyFill="1" applyBorder="1" applyAlignment="1" applyProtection="1">
      <alignment vertical="center" wrapText="1"/>
    </xf>
    <xf numFmtId="164" fontId="47" fillId="0" borderId="11" xfId="0" applyNumberFormat="1" applyFont="1" applyFill="1" applyBorder="1" applyAlignment="1" applyProtection="1">
      <alignment horizontal="left" vertical="center" wrapText="1"/>
      <protection locked="0"/>
    </xf>
    <xf numFmtId="3" fontId="47" fillId="0" borderId="11" xfId="0" applyNumberFormat="1" applyFont="1" applyFill="1" applyBorder="1"/>
    <xf numFmtId="0" fontId="28" fillId="0" borderId="0" xfId="0" applyFont="1" applyFill="1" applyBorder="1"/>
    <xf numFmtId="3" fontId="2" fillId="0" borderId="0" xfId="0" applyNumberFormat="1" applyFont="1" applyFill="1" applyAlignment="1">
      <alignment horizontal="left" vertical="center" wrapText="1"/>
    </xf>
    <xf numFmtId="0" fontId="41" fillId="0" borderId="0" xfId="4" applyFont="1" applyFill="1"/>
    <xf numFmtId="0" fontId="48" fillId="0" borderId="0" xfId="0" applyFont="1" applyFill="1" applyBorder="1" applyAlignment="1" applyProtection="1">
      <alignment horizontal="right"/>
    </xf>
    <xf numFmtId="0" fontId="7" fillId="0" borderId="0" xfId="4" applyFont="1" applyFill="1" applyAlignment="1" applyProtection="1">
      <alignment horizontal="center"/>
    </xf>
    <xf numFmtId="49" fontId="34" fillId="0" borderId="0" xfId="0" applyNumberFormat="1" applyFont="1" applyFill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164" fontId="35" fillId="0" borderId="20" xfId="4" applyNumberFormat="1" applyFont="1" applyFill="1" applyBorder="1" applyAlignment="1" applyProtection="1">
      <alignment horizontal="left" vertical="center"/>
    </xf>
    <xf numFmtId="0" fontId="8" fillId="0" borderId="0" xfId="4" applyFont="1" applyFill="1" applyAlignment="1" applyProtection="1">
      <alignment horizontal="center"/>
    </xf>
    <xf numFmtId="0" fontId="24" fillId="0" borderId="11" xfId="4" applyFont="1" applyFill="1" applyBorder="1" applyAlignment="1" applyProtection="1">
      <alignment wrapText="1"/>
      <protection locked="0"/>
    </xf>
    <xf numFmtId="0" fontId="36" fillId="0" borderId="0" xfId="0" applyFont="1" applyFill="1" applyProtection="1"/>
    <xf numFmtId="0" fontId="36" fillId="0" borderId="21" xfId="0" applyFont="1" applyFill="1" applyBorder="1" applyAlignment="1" applyProtection="1">
      <alignment vertical="center"/>
    </xf>
    <xf numFmtId="0" fontId="36" fillId="0" borderId="5" xfId="0" applyFont="1" applyFill="1" applyBorder="1" applyAlignment="1" applyProtection="1">
      <alignment horizontal="center" vertical="center"/>
    </xf>
    <xf numFmtId="0" fontId="36" fillId="0" borderId="22" xfId="0" applyFont="1" applyFill="1" applyBorder="1" applyAlignment="1" applyProtection="1">
      <alignment horizontal="center" vertical="center"/>
    </xf>
    <xf numFmtId="49" fontId="34" fillId="0" borderId="24" xfId="0" quotePrefix="1" applyNumberFormat="1" applyFont="1" applyFill="1" applyBorder="1" applyAlignment="1" applyProtection="1">
      <alignment horizontal="left" vertical="center" indent="1"/>
    </xf>
    <xf numFmtId="3" fontId="34" fillId="0" borderId="11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6" fillId="0" borderId="7" xfId="0" applyNumberFormat="1" applyFont="1" applyFill="1" applyBorder="1" applyAlignment="1" applyProtection="1">
      <alignment vertical="center"/>
    </xf>
    <xf numFmtId="0" fontId="36" fillId="0" borderId="0" xfId="0" applyNumberFormat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3" fontId="2" fillId="0" borderId="14" xfId="0" applyNumberFormat="1" applyFont="1" applyBorder="1" applyAlignment="1" applyProtection="1">
      <alignment horizontal="right" vertical="center" indent="1"/>
      <protection locked="0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56" xfId="4" applyFont="1" applyFill="1" applyBorder="1" applyAlignment="1" applyProtection="1">
      <alignment horizontal="center" vertical="center" wrapText="1"/>
    </xf>
    <xf numFmtId="164" fontId="14" fillId="0" borderId="8" xfId="4" applyNumberFormat="1" applyFont="1" applyFill="1" applyBorder="1" applyAlignment="1" applyProtection="1">
      <alignment horizontal="right" vertical="center" wrapText="1"/>
    </xf>
    <xf numFmtId="164" fontId="14" fillId="0" borderId="6" xfId="4" applyNumberFormat="1" applyFont="1" applyFill="1" applyBorder="1" applyAlignment="1" applyProtection="1">
      <alignment horizontal="right" vertical="center" wrapText="1"/>
    </xf>
    <xf numFmtId="164" fontId="24" fillId="0" borderId="13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4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1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8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7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3" xfId="4" applyNumberFormat="1" applyFont="1" applyFill="1" applyBorder="1" applyAlignment="1" applyProtection="1">
      <alignment horizontal="right" vertical="center" wrapText="1"/>
    </xf>
    <xf numFmtId="164" fontId="24" fillId="0" borderId="14" xfId="4" applyNumberFormat="1" applyFont="1" applyFill="1" applyBorder="1" applyAlignment="1" applyProtection="1">
      <alignment horizontal="right" vertical="center" wrapText="1"/>
    </xf>
    <xf numFmtId="164" fontId="14" fillId="0" borderId="8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6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4" applyNumberFormat="1" applyFont="1" applyFill="1" applyBorder="1" applyAlignment="1" applyProtection="1">
      <alignment horizontal="right" vertical="center" wrapText="1" indent="1"/>
    </xf>
    <xf numFmtId="164" fontId="14" fillId="0" borderId="22" xfId="4" applyNumberFormat="1" applyFont="1" applyFill="1" applyBorder="1" applyAlignment="1" applyProtection="1">
      <alignment horizontal="right" vertical="center" wrapText="1" indent="1"/>
    </xf>
    <xf numFmtId="164" fontId="2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9" xfId="4" applyNumberFormat="1" applyFont="1" applyFill="1" applyBorder="1" applyAlignment="1" applyProtection="1">
      <alignment horizontal="right" vertical="center" wrapText="1" indent="1"/>
    </xf>
    <xf numFmtId="164" fontId="14" fillId="0" borderId="35" xfId="4" applyNumberFormat="1" applyFont="1" applyFill="1" applyBorder="1" applyAlignment="1" applyProtection="1">
      <alignment horizontal="right" vertical="center" wrapText="1" indent="1"/>
    </xf>
    <xf numFmtId="164" fontId="24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4" applyNumberFormat="1" applyFont="1" applyFill="1" applyBorder="1" applyAlignment="1" applyProtection="1">
      <alignment horizontal="right" vertical="center" wrapText="1" indent="1"/>
    </xf>
    <xf numFmtId="164" fontId="14" fillId="0" borderId="6" xfId="4" applyNumberFormat="1" applyFont="1" applyFill="1" applyBorder="1" applyAlignment="1" applyProtection="1">
      <alignment horizontal="right" vertical="center" wrapText="1" indent="1"/>
    </xf>
    <xf numFmtId="164" fontId="36" fillId="0" borderId="8" xfId="4" applyNumberFormat="1" applyFont="1" applyFill="1" applyBorder="1" applyAlignment="1" applyProtection="1">
      <alignment horizontal="right" vertical="center" wrapText="1" indent="1"/>
    </xf>
    <xf numFmtId="164" fontId="36" fillId="0" borderId="6" xfId="4" applyNumberFormat="1" applyFont="1" applyFill="1" applyBorder="1" applyAlignment="1" applyProtection="1">
      <alignment horizontal="right" vertical="center" wrapText="1" indent="1"/>
    </xf>
    <xf numFmtId="164" fontId="39" fillId="0" borderId="8" xfId="0" applyNumberFormat="1" applyFont="1" applyBorder="1" applyAlignment="1" applyProtection="1">
      <alignment horizontal="right" vertical="center" wrapText="1" indent="1"/>
    </xf>
    <xf numFmtId="164" fontId="39" fillId="0" borderId="6" xfId="0" applyNumberFormat="1" applyFont="1" applyBorder="1" applyAlignment="1" applyProtection="1">
      <alignment horizontal="right" vertical="center" wrapText="1" indent="1"/>
    </xf>
    <xf numFmtId="164" fontId="39" fillId="0" borderId="8" xfId="0" applyNumberFormat="1" applyFont="1" applyBorder="1" applyAlignment="1" applyProtection="1">
      <alignment horizontal="right" vertical="center" wrapText="1" indent="1"/>
      <protection locked="0"/>
    </xf>
    <xf numFmtId="164" fontId="39" fillId="0" borderId="6" xfId="0" applyNumberFormat="1" applyFont="1" applyBorder="1" applyAlignment="1" applyProtection="1">
      <alignment horizontal="right" vertical="center" wrapText="1" indent="1"/>
      <protection locked="0"/>
    </xf>
    <xf numFmtId="164" fontId="39" fillId="0" borderId="8" xfId="0" quotePrefix="1" applyNumberFormat="1" applyFont="1" applyBorder="1" applyAlignment="1" applyProtection="1">
      <alignment horizontal="right" vertical="center" wrapText="1" indent="1"/>
    </xf>
    <xf numFmtId="164" fontId="39" fillId="0" borderId="6" xfId="0" quotePrefix="1" applyNumberFormat="1" applyFont="1" applyBorder="1" applyAlignment="1" applyProtection="1">
      <alignment horizontal="right" vertical="center" wrapText="1" indent="1"/>
    </xf>
    <xf numFmtId="0" fontId="11" fillId="0" borderId="22" xfId="0" applyFont="1" applyFill="1" applyBorder="1" applyAlignment="1" applyProtection="1">
      <alignment horizontal="right" vertical="center" wrapText="1" indent="1"/>
    </xf>
    <xf numFmtId="164" fontId="34" fillId="0" borderId="24" xfId="0" applyNumberFormat="1" applyFont="1" applyFill="1" applyBorder="1" applyAlignment="1" applyProtection="1">
      <alignment vertical="center" wrapText="1"/>
      <protection locked="0"/>
    </xf>
    <xf numFmtId="164" fontId="34" fillId="0" borderId="32" xfId="0" applyNumberFormat="1" applyFont="1" applyFill="1" applyBorder="1" applyAlignment="1" applyProtection="1">
      <alignment vertical="center" wrapText="1"/>
      <protection locked="0"/>
    </xf>
    <xf numFmtId="164" fontId="34" fillId="0" borderId="11" xfId="0" applyNumberFormat="1" applyFont="1" applyFill="1" applyBorder="1" applyAlignment="1" applyProtection="1">
      <alignment vertical="center" wrapText="1"/>
      <protection locked="0"/>
    </xf>
    <xf numFmtId="49" fontId="3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Alignment="1">
      <alignment vertical="center" wrapText="1"/>
    </xf>
    <xf numFmtId="164" fontId="35" fillId="0" borderId="57" xfId="0" applyNumberFormat="1" applyFont="1" applyFill="1" applyBorder="1" applyAlignment="1" applyProtection="1">
      <alignment vertical="center" wrapText="1"/>
      <protection locked="0"/>
    </xf>
    <xf numFmtId="164" fontId="35" fillId="0" borderId="0" xfId="0" applyNumberFormat="1" applyFont="1" applyFill="1" applyAlignment="1">
      <alignment vertical="center" wrapText="1"/>
    </xf>
    <xf numFmtId="164" fontId="34" fillId="0" borderId="57" xfId="0" applyNumberFormat="1" applyFont="1" applyFill="1" applyBorder="1" applyAlignment="1" applyProtection="1">
      <alignment vertical="center" wrapText="1"/>
      <protection locked="0"/>
    </xf>
    <xf numFmtId="164" fontId="36" fillId="0" borderId="7" xfId="0" applyNumberFormat="1" applyFont="1" applyFill="1" applyBorder="1" applyAlignment="1" applyProtection="1">
      <alignment horizontal="left" vertical="center" wrapText="1"/>
    </xf>
    <xf numFmtId="164" fontId="36" fillId="0" borderId="19" xfId="0" applyNumberFormat="1" applyFont="1" applyFill="1" applyBorder="1" applyAlignment="1" applyProtection="1">
      <alignment horizontal="left" vertical="center" wrapText="1"/>
    </xf>
    <xf numFmtId="164" fontId="36" fillId="0" borderId="8" xfId="0" applyNumberFormat="1" applyFont="1" applyFill="1" applyBorder="1" applyAlignment="1" applyProtection="1">
      <alignment vertical="center" wrapText="1"/>
    </xf>
    <xf numFmtId="3" fontId="2" fillId="0" borderId="24" xfId="0" applyNumberFormat="1" applyFont="1" applyFill="1" applyBorder="1" applyAlignment="1" applyProtection="1">
      <alignment vertical="center" wrapText="1"/>
      <protection locked="0"/>
    </xf>
    <xf numFmtId="3" fontId="2" fillId="0" borderId="32" xfId="0" applyNumberFormat="1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7" xfId="0" applyNumberFormat="1" applyFont="1" applyFill="1" applyBorder="1" applyAlignment="1" applyProtection="1">
      <alignment vertical="center" wrapText="1"/>
    </xf>
    <xf numFmtId="3" fontId="2" fillId="0" borderId="57" xfId="0" applyNumberFormat="1" applyFont="1" applyFill="1" applyBorder="1" applyAlignment="1" applyProtection="1">
      <alignment vertical="center" wrapText="1"/>
      <protection locked="0"/>
    </xf>
    <xf numFmtId="3" fontId="7" fillId="0" borderId="57" xfId="0" applyNumberFormat="1" applyFont="1" applyFill="1" applyBorder="1" applyAlignment="1" applyProtection="1">
      <alignment vertical="center" wrapText="1"/>
      <protection locked="0"/>
    </xf>
    <xf numFmtId="3" fontId="2" fillId="0" borderId="18" xfId="0" applyNumberFormat="1" applyFont="1" applyFill="1" applyBorder="1" applyAlignment="1" applyProtection="1">
      <alignment vertical="center" wrapText="1"/>
    </xf>
    <xf numFmtId="3" fontId="8" fillId="0" borderId="24" xfId="0" applyNumberFormat="1" applyFont="1" applyFill="1" applyBorder="1" applyAlignment="1" applyProtection="1">
      <alignment vertical="center" wrapText="1"/>
      <protection locked="0"/>
    </xf>
    <xf numFmtId="3" fontId="8" fillId="0" borderId="32" xfId="0" applyNumberFormat="1" applyFont="1" applyFill="1" applyBorder="1" applyAlignment="1" applyProtection="1">
      <alignment vertical="center" wrapText="1"/>
      <protection locked="0"/>
    </xf>
    <xf numFmtId="3" fontId="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>
      <alignment vertical="center" wrapText="1"/>
    </xf>
    <xf numFmtId="3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8" xfId="0" applyNumberFormat="1" applyFont="1" applyFill="1" applyBorder="1" applyAlignment="1" applyProtection="1">
      <alignment vertical="center" wrapText="1"/>
    </xf>
    <xf numFmtId="3" fontId="8" fillId="0" borderId="57" xfId="0" applyNumberFormat="1" applyFont="1" applyFill="1" applyBorder="1" applyAlignment="1" applyProtection="1">
      <alignment vertical="center" wrapText="1"/>
      <protection locked="0"/>
    </xf>
    <xf numFmtId="3" fontId="7" fillId="0" borderId="7" xfId="0" applyNumberFormat="1" applyFont="1" applyFill="1" applyBorder="1" applyAlignment="1" applyProtection="1">
      <alignment horizontal="left" vertical="center" wrapText="1"/>
    </xf>
    <xf numFmtId="3" fontId="7" fillId="0" borderId="19" xfId="0" applyNumberFormat="1" applyFont="1" applyFill="1" applyBorder="1" applyAlignment="1" applyProtection="1">
      <alignment horizontal="left" vertical="center" wrapText="1"/>
    </xf>
    <xf numFmtId="3" fontId="7" fillId="0" borderId="8" xfId="0" applyNumberFormat="1" applyFont="1" applyFill="1" applyBorder="1" applyAlignment="1" applyProtection="1">
      <alignment vertical="center" wrapText="1"/>
    </xf>
    <xf numFmtId="164" fontId="35" fillId="0" borderId="0" xfId="0" applyNumberFormat="1" applyFont="1" applyFill="1" applyAlignment="1" applyProtection="1">
      <alignment horizontal="right" vertical="center"/>
    </xf>
    <xf numFmtId="164" fontId="32" fillId="0" borderId="8" xfId="0" applyNumberFormat="1" applyFont="1" applyFill="1" applyBorder="1" applyAlignment="1" applyProtection="1">
      <alignment horizontal="centerContinuous" vertical="center" wrapText="1"/>
    </xf>
    <xf numFmtId="164" fontId="32" fillId="0" borderId="6" xfId="0" applyNumberFormat="1" applyFont="1" applyFill="1" applyBorder="1" applyAlignment="1" applyProtection="1">
      <alignment horizontal="centerContinuous"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37" fillId="0" borderId="13" xfId="0" applyNumberFormat="1" applyFont="1" applyFill="1" applyBorder="1" applyAlignment="1" applyProtection="1">
      <alignment horizontal="right" vertical="center" wrapText="1" indent="1"/>
    </xf>
    <xf numFmtId="164" fontId="37" fillId="0" borderId="11" xfId="0" applyNumberFormat="1" applyFont="1" applyFill="1" applyBorder="1" applyAlignment="1" applyProtection="1">
      <alignment horizontal="right" vertical="center" wrapText="1" indent="1"/>
    </xf>
    <xf numFmtId="164" fontId="36" fillId="0" borderId="56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2" xfId="0" applyNumberFormat="1" applyFont="1" applyFill="1" applyBorder="1" applyAlignment="1" applyProtection="1">
      <alignment horizontal="righ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4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right" vertical="center" wrapText="1" indent="1"/>
    </xf>
    <xf numFmtId="0" fontId="28" fillId="0" borderId="0" xfId="4" applyFont="1" applyFill="1" applyProtection="1"/>
    <xf numFmtId="0" fontId="28" fillId="0" borderId="0" xfId="4" applyFont="1" applyFill="1" applyAlignment="1" applyProtection="1">
      <alignment horizontal="right" vertical="center" indent="1"/>
    </xf>
    <xf numFmtId="164" fontId="14" fillId="0" borderId="55" xfId="4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164" fontId="15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4" applyNumberFormat="1" applyFont="1" applyFill="1" applyBorder="1" applyAlignment="1" applyProtection="1">
      <alignment horizontal="right" vertical="center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</xf>
    <xf numFmtId="164" fontId="18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5" xfId="4" applyNumberFormat="1" applyFont="1" applyFill="1" applyBorder="1" applyAlignment="1" applyProtection="1">
      <alignment horizontal="right" vertical="center" wrapText="1" indent="1"/>
    </xf>
    <xf numFmtId="164" fontId="16" fillId="0" borderId="29" xfId="4" applyNumberFormat="1" applyFont="1" applyFill="1" applyBorder="1" applyAlignment="1" applyProtection="1">
      <alignment horizontal="right" vertical="center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4" applyNumberFormat="1" applyFont="1" applyFill="1" applyBorder="1" applyAlignment="1" applyProtection="1">
      <alignment horizontal="right" vertical="center" wrapText="1" indent="1"/>
    </xf>
    <xf numFmtId="164" fontId="21" fillId="0" borderId="8" xfId="0" quotePrefix="1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0" fontId="51" fillId="0" borderId="0" xfId="5" applyFont="1" applyFill="1" applyProtection="1"/>
    <xf numFmtId="0" fontId="51" fillId="0" borderId="0" xfId="5" applyFont="1" applyFill="1" applyProtection="1">
      <protection locked="0"/>
    </xf>
    <xf numFmtId="0" fontId="42" fillId="0" borderId="0" xfId="5" applyFont="1" applyFill="1" applyProtection="1"/>
    <xf numFmtId="0" fontId="42" fillId="0" borderId="0" xfId="5" applyFont="1" applyFill="1" applyAlignment="1" applyProtection="1">
      <alignment horizontal="center" wrapText="1"/>
    </xf>
    <xf numFmtId="0" fontId="43" fillId="0" borderId="0" xfId="0" applyFont="1" applyFill="1" applyAlignment="1">
      <alignment horizontal="right"/>
    </xf>
    <xf numFmtId="0" fontId="42" fillId="0" borderId="21" xfId="5" applyFont="1" applyFill="1" applyBorder="1" applyAlignment="1" applyProtection="1">
      <alignment horizontal="center" vertical="center" wrapText="1"/>
    </xf>
    <xf numFmtId="0" fontId="42" fillId="0" borderId="5" xfId="5" applyFont="1" applyFill="1" applyBorder="1" applyAlignment="1" applyProtection="1">
      <alignment horizontal="center" vertical="center"/>
    </xf>
    <xf numFmtId="0" fontId="42" fillId="0" borderId="22" xfId="5" applyFont="1" applyFill="1" applyBorder="1" applyAlignment="1" applyProtection="1">
      <alignment horizontal="center" vertical="center"/>
    </xf>
    <xf numFmtId="0" fontId="42" fillId="0" borderId="7" xfId="5" applyFont="1" applyFill="1" applyBorder="1" applyAlignment="1" applyProtection="1">
      <alignment horizontal="left" vertical="center" indent="1"/>
    </xf>
    <xf numFmtId="0" fontId="42" fillId="0" borderId="0" xfId="5" applyFont="1" applyFill="1" applyAlignment="1" applyProtection="1">
      <alignment vertical="center"/>
    </xf>
    <xf numFmtId="0" fontId="51" fillId="0" borderId="24" xfId="5" applyFont="1" applyFill="1" applyBorder="1" applyAlignment="1" applyProtection="1">
      <alignment horizontal="left" vertical="center" indent="1"/>
    </xf>
    <xf numFmtId="0" fontId="51" fillId="0" borderId="11" xfId="5" applyFont="1" applyFill="1" applyBorder="1" applyAlignment="1" applyProtection="1">
      <alignment horizontal="left" vertical="center" indent="1"/>
    </xf>
    <xf numFmtId="164" fontId="51" fillId="0" borderId="11" xfId="5" applyNumberFormat="1" applyFont="1" applyFill="1" applyBorder="1" applyAlignment="1" applyProtection="1">
      <alignment vertical="center"/>
      <protection locked="0"/>
    </xf>
    <xf numFmtId="164" fontId="42" fillId="0" borderId="18" xfId="5" applyNumberFormat="1" applyFont="1" applyFill="1" applyBorder="1" applyAlignment="1" applyProtection="1">
      <alignment vertical="center"/>
    </xf>
    <xf numFmtId="0" fontId="51" fillId="0" borderId="0" xfId="5" applyFont="1" applyFill="1" applyAlignment="1" applyProtection="1">
      <alignment vertical="center"/>
      <protection locked="0"/>
    </xf>
    <xf numFmtId="0" fontId="51" fillId="0" borderId="7" xfId="5" applyFont="1" applyFill="1" applyBorder="1" applyAlignment="1" applyProtection="1">
      <alignment horizontal="left" vertical="center" indent="1"/>
    </xf>
    <xf numFmtId="0" fontId="42" fillId="0" borderId="8" xfId="5" applyFont="1" applyFill="1" applyBorder="1" applyAlignment="1" applyProtection="1">
      <alignment horizontal="left" vertical="center" indent="1"/>
    </xf>
    <xf numFmtId="164" fontId="42" fillId="0" borderId="8" xfId="5" applyNumberFormat="1" applyFont="1" applyFill="1" applyBorder="1" applyAlignment="1" applyProtection="1">
      <alignment vertical="center"/>
    </xf>
    <xf numFmtId="164" fontId="42" fillId="0" borderId="6" xfId="5" applyNumberFormat="1" applyFont="1" applyFill="1" applyBorder="1" applyAlignment="1" applyProtection="1">
      <alignment vertical="center"/>
    </xf>
    <xf numFmtId="0" fontId="51" fillId="0" borderId="0" xfId="5" applyFont="1" applyFill="1" applyAlignment="1" applyProtection="1">
      <alignment vertical="center"/>
    </xf>
    <xf numFmtId="0" fontId="51" fillId="0" borderId="55" xfId="5" applyFont="1" applyFill="1" applyBorder="1" applyAlignment="1" applyProtection="1">
      <alignment horizontal="left" vertical="center" indent="1"/>
    </xf>
    <xf numFmtId="0" fontId="42" fillId="0" borderId="55" xfId="5" applyFont="1" applyFill="1" applyBorder="1" applyAlignment="1" applyProtection="1">
      <alignment horizontal="left" vertical="center" indent="1"/>
    </xf>
    <xf numFmtId="164" fontId="42" fillId="0" borderId="55" xfId="5" applyNumberFormat="1" applyFont="1" applyFill="1" applyBorder="1" applyAlignment="1" applyProtection="1">
      <alignment vertical="center"/>
    </xf>
    <xf numFmtId="0" fontId="51" fillId="0" borderId="0" xfId="5" applyFont="1" applyFill="1" applyBorder="1" applyAlignment="1" applyProtection="1">
      <alignment horizontal="left" vertical="center" indent="1"/>
    </xf>
    <xf numFmtId="0" fontId="42" fillId="0" borderId="0" xfId="5" applyFont="1" applyFill="1" applyBorder="1" applyAlignment="1" applyProtection="1">
      <alignment horizontal="left" vertical="center" indent="1"/>
    </xf>
    <xf numFmtId="164" fontId="42" fillId="0" borderId="0" xfId="5" applyNumberFormat="1" applyFont="1" applyFill="1" applyBorder="1" applyAlignment="1" applyProtection="1">
      <alignment vertical="center"/>
    </xf>
    <xf numFmtId="0" fontId="51" fillId="0" borderId="0" xfId="5" applyFont="1" applyFill="1" applyBorder="1" applyAlignment="1" applyProtection="1">
      <alignment vertical="center"/>
    </xf>
    <xf numFmtId="0" fontId="42" fillId="0" borderId="28" xfId="5" applyFont="1" applyFill="1" applyBorder="1" applyAlignment="1" applyProtection="1">
      <alignment horizontal="left" vertical="center" indent="1"/>
    </xf>
    <xf numFmtId="0" fontId="51" fillId="0" borderId="58" xfId="5" applyFont="1" applyFill="1" applyBorder="1" applyAlignment="1" applyProtection="1">
      <alignment horizontal="left" vertical="center" indent="1"/>
    </xf>
    <xf numFmtId="0" fontId="42" fillId="0" borderId="17" xfId="5" applyFont="1" applyFill="1" applyBorder="1" applyAlignment="1" applyProtection="1">
      <alignment horizontal="left" vertical="center" indent="1"/>
    </xf>
    <xf numFmtId="164" fontId="42" fillId="0" borderId="17" xfId="5" applyNumberFormat="1" applyFont="1" applyFill="1" applyBorder="1" applyAlignment="1" applyProtection="1">
      <alignment vertical="center"/>
    </xf>
    <xf numFmtId="0" fontId="32" fillId="0" borderId="6" xfId="4" applyFont="1" applyFill="1" applyBorder="1" applyAlignment="1" applyProtection="1">
      <alignment horizontal="center" vertical="center" wrapText="1"/>
    </xf>
    <xf numFmtId="164" fontId="53" fillId="0" borderId="0" xfId="4" applyNumberFormat="1" applyFont="1" applyFill="1" applyProtection="1"/>
    <xf numFmtId="0" fontId="5" fillId="0" borderId="0" xfId="0" applyFont="1" applyFill="1" applyProtection="1"/>
    <xf numFmtId="0" fontId="5" fillId="0" borderId="0" xfId="0" applyFont="1" applyFill="1"/>
    <xf numFmtId="49" fontId="5" fillId="0" borderId="30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  <protection locked="0"/>
    </xf>
    <xf numFmtId="3" fontId="5" fillId="0" borderId="31" xfId="0" applyNumberFormat="1" applyFont="1" applyFill="1" applyBorder="1" applyAlignment="1" applyProtection="1">
      <alignment vertical="center"/>
    </xf>
    <xf numFmtId="49" fontId="5" fillId="0" borderId="24" xfId="0" applyNumberFormat="1" applyFont="1" applyFill="1" applyBorder="1" applyAlignment="1" applyProtection="1">
      <alignment vertical="center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3" fontId="5" fillId="0" borderId="18" xfId="0" applyNumberFormat="1" applyFont="1" applyFill="1" applyBorder="1" applyAlignment="1" applyProtection="1">
      <alignment vertical="center"/>
    </xf>
    <xf numFmtId="49" fontId="5" fillId="0" borderId="25" xfId="0" applyNumberFormat="1" applyFont="1" applyFill="1" applyBorder="1" applyAlignment="1" applyProtection="1">
      <alignment vertical="center"/>
      <protection locked="0"/>
    </xf>
    <xf numFmtId="3" fontId="5" fillId="0" borderId="26" xfId="0" applyNumberFormat="1" applyFont="1" applyFill="1" applyBorder="1" applyAlignment="1" applyProtection="1">
      <alignment vertical="center"/>
      <protection locked="0"/>
    </xf>
    <xf numFmtId="3" fontId="5" fillId="0" borderId="8" xfId="0" applyNumberFormat="1" applyFont="1" applyFill="1" applyBorder="1" applyAlignment="1" applyProtection="1">
      <alignment vertical="center"/>
    </xf>
    <xf numFmtId="3" fontId="5" fillId="0" borderId="6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49" fontId="5" fillId="0" borderId="24" xfId="0" applyNumberFormat="1" applyFont="1" applyFill="1" applyBorder="1" applyAlignment="1" applyProtection="1">
      <alignment horizontal="left" vertical="center"/>
    </xf>
    <xf numFmtId="49" fontId="5" fillId="0" borderId="2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/>
    <xf numFmtId="0" fontId="36" fillId="0" borderId="5" xfId="5" applyFont="1" applyFill="1" applyBorder="1" applyAlignment="1" applyProtection="1">
      <alignment horizontal="center" vertical="center"/>
    </xf>
    <xf numFmtId="164" fontId="0" fillId="0" borderId="41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164" fontId="9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4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37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 indent="1"/>
    </xf>
    <xf numFmtId="164" fontId="16" fillId="0" borderId="6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 indent="1"/>
    </xf>
    <xf numFmtId="164" fontId="18" fillId="0" borderId="31" xfId="0" applyNumberFormat="1" applyFont="1" applyBorder="1" applyAlignment="1" applyProtection="1">
      <alignment horizontal="right" vertical="center" wrapText="1" indent="1"/>
      <protection locked="0"/>
    </xf>
    <xf numFmtId="49" fontId="6" fillId="0" borderId="24" xfId="0" applyNumberFormat="1" applyFont="1" applyBorder="1" applyAlignment="1">
      <alignment horizontal="center" vertical="center" wrapText="1"/>
    </xf>
    <xf numFmtId="0" fontId="18" fillId="0" borderId="11" xfId="4" applyFont="1" applyBorder="1" applyAlignment="1">
      <alignment horizontal="left" vertical="center" wrapText="1" indent="1"/>
    </xf>
    <xf numFmtId="164" fontId="18" fillId="0" borderId="18" xfId="0" applyNumberFormat="1" applyFont="1" applyBorder="1" applyAlignment="1" applyProtection="1">
      <alignment horizontal="right" vertical="center" wrapText="1" indent="1"/>
      <protection locked="0"/>
    </xf>
    <xf numFmtId="0" fontId="18" fillId="0" borderId="12" xfId="4" applyFont="1" applyBorder="1" applyAlignment="1">
      <alignment horizontal="left" vertical="center" wrapText="1" indent="1"/>
    </xf>
    <xf numFmtId="164" fontId="18" fillId="0" borderId="15" xfId="0" applyNumberFormat="1" applyFont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vertical="center" wrapText="1"/>
    </xf>
    <xf numFmtId="164" fontId="18" fillId="0" borderId="27" xfId="0" applyNumberFormat="1" applyFont="1" applyBorder="1" applyAlignment="1" applyProtection="1">
      <alignment horizontal="right" vertical="center" wrapText="1" indent="1"/>
      <protection locked="0"/>
    </xf>
    <xf numFmtId="0" fontId="18" fillId="0" borderId="13" xfId="4" applyFont="1" applyBorder="1" applyAlignment="1">
      <alignment horizontal="left" vertical="center" wrapText="1" indent="1"/>
    </xf>
    <xf numFmtId="0" fontId="16" fillId="0" borderId="7" xfId="0" applyFont="1" applyBorder="1" applyAlignment="1">
      <alignment horizontal="center" vertical="center" wrapText="1"/>
    </xf>
    <xf numFmtId="0" fontId="16" fillId="0" borderId="8" xfId="4" applyFont="1" applyBorder="1" applyAlignment="1">
      <alignment horizontal="left" vertical="center" wrapText="1" indent="1"/>
    </xf>
    <xf numFmtId="164" fontId="16" fillId="0" borderId="6" xfId="0" applyNumberFormat="1" applyFont="1" applyBorder="1" applyAlignment="1" applyProtection="1">
      <alignment horizontal="right" vertical="center" wrapText="1" indent="1"/>
      <protection locked="0"/>
    </xf>
    <xf numFmtId="49" fontId="6" fillId="0" borderId="23" xfId="0" applyNumberFormat="1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 indent="1"/>
    </xf>
    <xf numFmtId="164" fontId="6" fillId="0" borderId="14" xfId="0" applyNumberFormat="1" applyFont="1" applyBorder="1" applyAlignment="1" applyProtection="1">
      <alignment horizontal="right" vertical="center" wrapText="1" indent="1"/>
      <protection locked="0"/>
    </xf>
    <xf numFmtId="0" fontId="6" fillId="0" borderId="11" xfId="4" applyFont="1" applyBorder="1" applyAlignment="1">
      <alignment horizontal="left" vertical="center" wrapText="1" indent="1"/>
    </xf>
    <xf numFmtId="0" fontId="6" fillId="0" borderId="29" xfId="4" applyFont="1" applyBorder="1" applyAlignment="1">
      <alignment horizontal="left" vertical="center" wrapText="1" indent="1"/>
    </xf>
    <xf numFmtId="164" fontId="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56" xfId="0" applyNumberFormat="1" applyFont="1" applyBorder="1" applyAlignment="1">
      <alignment horizontal="right" vertical="center" wrapText="1" indent="1"/>
    </xf>
    <xf numFmtId="0" fontId="20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wrapText="1" indent="1"/>
    </xf>
    <xf numFmtId="164" fontId="15" fillId="0" borderId="56" xfId="0" applyNumberFormat="1" applyFont="1" applyBorder="1" applyAlignment="1">
      <alignment horizontal="right" vertical="center" wrapText="1" inden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5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64" fontId="6" fillId="0" borderId="18" xfId="0" applyNumberFormat="1" applyFont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>
      <alignment horizontal="left" vertical="center" wrapText="1" indent="1"/>
    </xf>
    <xf numFmtId="164" fontId="15" fillId="0" borderId="6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vertical="center" wrapText="1"/>
    </xf>
    <xf numFmtId="3" fontId="14" fillId="0" borderId="6" xfId="0" applyNumberFormat="1" applyFont="1" applyBorder="1" applyAlignment="1" applyProtection="1">
      <alignment horizontal="right" vertical="center" wrapText="1" indent="1"/>
      <protection locked="0"/>
    </xf>
    <xf numFmtId="0" fontId="45" fillId="0" borderId="11" xfId="0" applyFont="1" applyBorder="1" applyAlignment="1" applyProtection="1">
      <alignment horizontal="left" vertical="center" wrapText="1"/>
      <protection locked="0"/>
    </xf>
    <xf numFmtId="3" fontId="45" fillId="0" borderId="11" xfId="0" applyNumberFormat="1" applyFont="1" applyBorder="1" applyAlignment="1" applyProtection="1">
      <alignment horizontal="right" vertical="center" wrapText="1"/>
      <protection locked="0"/>
    </xf>
    <xf numFmtId="0" fontId="5" fillId="0" borderId="0" xfId="4" applyFont="1" applyFill="1"/>
    <xf numFmtId="0" fontId="5" fillId="0" borderId="0" xfId="4" applyFont="1" applyFill="1" applyAlignment="1">
      <alignment horizontal="right" vertical="center" indent="1"/>
    </xf>
    <xf numFmtId="164" fontId="5" fillId="0" borderId="18" xfId="4" applyNumberFormat="1" applyFont="1" applyFill="1" applyBorder="1" applyAlignment="1" applyProtection="1">
      <alignment horizontal="right" vertical="center" wrapText="1"/>
      <protection locked="0"/>
    </xf>
    <xf numFmtId="164" fontId="5" fillId="0" borderId="0" xfId="4" applyNumberFormat="1" applyFont="1" applyFill="1"/>
    <xf numFmtId="164" fontId="0" fillId="0" borderId="0" xfId="0" applyNumberFormat="1" applyFont="1" applyFill="1" applyAlignment="1">
      <alignment vertical="center" wrapText="1"/>
    </xf>
    <xf numFmtId="164" fontId="0" fillId="0" borderId="57" xfId="0" applyNumberFormat="1" applyFont="1" applyFill="1" applyBorder="1" applyAlignment="1" applyProtection="1">
      <alignment vertical="center" wrapText="1"/>
      <protection locked="0"/>
    </xf>
    <xf numFmtId="164" fontId="0" fillId="0" borderId="24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8" xfId="0" applyNumberFormat="1" applyFont="1" applyFill="1" applyBorder="1" applyAlignment="1" applyProtection="1">
      <alignment vertical="center" wrapText="1"/>
    </xf>
    <xf numFmtId="164" fontId="0" fillId="0" borderId="25" xfId="0" applyNumberFormat="1" applyFont="1" applyFill="1" applyBorder="1" applyAlignment="1" applyProtection="1">
      <alignment vertical="center" wrapText="1"/>
      <protection locked="0"/>
    </xf>
    <xf numFmtId="164" fontId="0" fillId="0" borderId="59" xfId="0" applyNumberFormat="1" applyFont="1" applyFill="1" applyBorder="1" applyAlignment="1" applyProtection="1">
      <alignment vertical="center" wrapText="1"/>
      <protection locked="0"/>
    </xf>
    <xf numFmtId="164" fontId="0" fillId="0" borderId="26" xfId="0" applyNumberFormat="1" applyFont="1" applyFill="1" applyBorder="1" applyAlignment="1" applyProtection="1">
      <alignment vertical="center" wrapText="1"/>
      <protection locked="0"/>
    </xf>
    <xf numFmtId="164" fontId="0" fillId="0" borderId="27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Continuous" vertical="center"/>
    </xf>
    <xf numFmtId="164" fontId="0" fillId="0" borderId="52" xfId="0" applyNumberFormat="1" applyFont="1" applyFill="1" applyBorder="1" applyAlignment="1" applyProtection="1">
      <alignment horizontal="left" vertical="center" wrapText="1" indent="1"/>
    </xf>
    <xf numFmtId="164" fontId="0" fillId="0" borderId="50" xfId="0" applyNumberFormat="1" applyFont="1" applyFill="1" applyBorder="1" applyAlignment="1" applyProtection="1">
      <alignment horizontal="left" vertical="center" wrapText="1" indent="1"/>
    </xf>
    <xf numFmtId="164" fontId="0" fillId="0" borderId="49" xfId="0" applyNumberFormat="1" applyFont="1" applyFill="1" applyBorder="1" applyAlignment="1" applyProtection="1">
      <alignment horizontal="left" vertical="center" wrapText="1" indent="1"/>
    </xf>
    <xf numFmtId="164" fontId="23" fillId="0" borderId="20" xfId="4" applyNumberFormat="1" applyFont="1" applyFill="1" applyBorder="1" applyAlignment="1" applyProtection="1">
      <alignment horizontal="left" vertical="center"/>
    </xf>
    <xf numFmtId="164" fontId="12" fillId="0" borderId="0" xfId="4" applyNumberFormat="1" applyFont="1" applyFill="1" applyBorder="1" applyAlignment="1" applyProtection="1">
      <alignment horizontal="center" vertical="center"/>
    </xf>
    <xf numFmtId="164" fontId="23" fillId="0" borderId="20" xfId="4" applyNumberFormat="1" applyFont="1" applyFill="1" applyBorder="1" applyAlignment="1" applyProtection="1">
      <alignment horizontal="left"/>
    </xf>
    <xf numFmtId="0" fontId="7" fillId="0" borderId="0" xfId="4" applyFont="1" applyFill="1" applyAlignment="1" applyProtection="1">
      <alignment horizontal="center"/>
    </xf>
    <xf numFmtId="164" fontId="32" fillId="0" borderId="60" xfId="0" applyNumberFormat="1" applyFont="1" applyFill="1" applyBorder="1" applyAlignment="1" applyProtection="1">
      <alignment horizontal="center" vertical="center" wrapText="1"/>
    </xf>
    <xf numFmtId="164" fontId="32" fillId="0" borderId="61" xfId="0" applyNumberFormat="1" applyFont="1" applyFill="1" applyBorder="1" applyAlignment="1" applyProtection="1">
      <alignment horizontal="center" vertical="center" wrapText="1"/>
    </xf>
    <xf numFmtId="164" fontId="38" fillId="0" borderId="55" xfId="0" applyNumberFormat="1" applyFont="1" applyFill="1" applyBorder="1" applyAlignment="1" applyProtection="1">
      <alignment horizontal="center" vertical="center" wrapText="1"/>
    </xf>
    <xf numFmtId="164" fontId="32" fillId="0" borderId="62" xfId="0" applyNumberFormat="1" applyFont="1" applyFill="1" applyBorder="1" applyAlignment="1" applyProtection="1">
      <alignment horizontal="center" vertical="center" wrapText="1"/>
    </xf>
    <xf numFmtId="164" fontId="32" fillId="0" borderId="63" xfId="0" applyNumberFormat="1" applyFont="1" applyFill="1" applyBorder="1" applyAlignment="1" applyProtection="1">
      <alignment horizontal="center" vertical="center" wrapText="1"/>
    </xf>
    <xf numFmtId="164" fontId="29" fillId="0" borderId="0" xfId="4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/>
    </xf>
    <xf numFmtId="0" fontId="14" fillId="0" borderId="31" xfId="4" applyFont="1" applyFill="1" applyBorder="1" applyAlignment="1">
      <alignment horizontal="center" vertical="center" wrapText="1"/>
    </xf>
    <xf numFmtId="0" fontId="14" fillId="0" borderId="27" xfId="4" applyFont="1" applyFill="1" applyBorder="1" applyAlignment="1">
      <alignment horizontal="center" vertical="center" wrapText="1"/>
    </xf>
    <xf numFmtId="0" fontId="14" fillId="0" borderId="30" xfId="4" applyFont="1" applyFill="1" applyBorder="1" applyAlignment="1">
      <alignment horizontal="center" vertical="center" wrapText="1"/>
    </xf>
    <xf numFmtId="0" fontId="14" fillId="0" borderId="25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6" xfId="4" applyFont="1" applyFill="1" applyBorder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32" fillId="0" borderId="7" xfId="4" applyFont="1" applyFill="1" applyBorder="1" applyAlignment="1" applyProtection="1">
      <alignment horizontal="left"/>
    </xf>
    <xf numFmtId="0" fontId="32" fillId="0" borderId="8" xfId="4" applyFont="1" applyFill="1" applyBorder="1" applyAlignment="1" applyProtection="1">
      <alignment horizontal="left"/>
    </xf>
    <xf numFmtId="0" fontId="18" fillId="0" borderId="55" xfId="4" applyFont="1" applyFill="1" applyBorder="1" applyAlignment="1">
      <alignment horizontal="justify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4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0" fontId="36" fillId="0" borderId="4" xfId="0" applyFont="1" applyFill="1" applyBorder="1" applyAlignment="1" applyProtection="1">
      <alignment horizontal="left" indent="1"/>
    </xf>
    <xf numFmtId="0" fontId="36" fillId="0" borderId="17" xfId="0" applyFont="1" applyFill="1" applyBorder="1" applyAlignment="1" applyProtection="1">
      <alignment horizontal="left" indent="1"/>
    </xf>
    <xf numFmtId="0" fontId="36" fillId="0" borderId="19" xfId="0" applyFont="1" applyFill="1" applyBorder="1" applyAlignment="1" applyProtection="1">
      <alignment horizontal="left" indent="1"/>
    </xf>
    <xf numFmtId="0" fontId="5" fillId="0" borderId="2" xfId="0" applyFont="1" applyFill="1" applyBorder="1" applyAlignment="1" applyProtection="1">
      <alignment horizontal="right" indent="1"/>
      <protection locked="0"/>
    </xf>
    <xf numFmtId="0" fontId="5" fillId="0" borderId="31" xfId="0" applyFont="1" applyFill="1" applyBorder="1" applyAlignment="1" applyProtection="1">
      <alignment horizontal="right" indent="1"/>
      <protection locked="0"/>
    </xf>
    <xf numFmtId="0" fontId="5" fillId="0" borderId="26" xfId="0" applyFont="1" applyFill="1" applyBorder="1" applyAlignment="1" applyProtection="1">
      <alignment horizontal="right" indent="1"/>
      <protection locked="0"/>
    </xf>
    <xf numFmtId="0" fontId="5" fillId="0" borderId="27" xfId="0" applyFont="1" applyFill="1" applyBorder="1" applyAlignment="1" applyProtection="1">
      <alignment horizontal="right" indent="1"/>
      <protection locked="0"/>
    </xf>
    <xf numFmtId="0" fontId="36" fillId="0" borderId="8" xfId="0" applyFont="1" applyFill="1" applyBorder="1" applyAlignment="1" applyProtection="1">
      <alignment horizontal="right" indent="1"/>
    </xf>
    <xf numFmtId="0" fontId="36" fillId="0" borderId="6" xfId="0" applyFont="1" applyFill="1" applyBorder="1" applyAlignment="1" applyProtection="1">
      <alignment horizontal="right" indent="1"/>
    </xf>
    <xf numFmtId="0" fontId="36" fillId="0" borderId="5" xfId="0" applyFont="1" applyFill="1" applyBorder="1" applyAlignment="1" applyProtection="1">
      <alignment horizontal="center"/>
    </xf>
    <xf numFmtId="0" fontId="36" fillId="0" borderId="22" xfId="0" applyFont="1" applyFill="1" applyBorder="1" applyAlignment="1" applyProtection="1">
      <alignment horizontal="center"/>
    </xf>
    <xf numFmtId="0" fontId="36" fillId="0" borderId="66" xfId="0" applyFont="1" applyFill="1" applyBorder="1" applyAlignment="1" applyProtection="1">
      <alignment horizontal="center"/>
    </xf>
    <xf numFmtId="0" fontId="36" fillId="0" borderId="55" xfId="0" applyFont="1" applyFill="1" applyBorder="1" applyAlignment="1" applyProtection="1">
      <alignment horizontal="center"/>
    </xf>
    <xf numFmtId="0" fontId="36" fillId="0" borderId="67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0" borderId="64" xfId="0" applyFont="1" applyFill="1" applyBorder="1" applyAlignment="1" applyProtection="1">
      <alignment horizontal="left" indent="1"/>
      <protection locked="0"/>
    </xf>
    <xf numFmtId="0" fontId="5" fillId="0" borderId="65" xfId="0" applyFont="1" applyFill="1" applyBorder="1" applyAlignment="1" applyProtection="1">
      <alignment horizontal="left" indent="1"/>
      <protection locked="0"/>
    </xf>
    <xf numFmtId="0" fontId="5" fillId="0" borderId="9" xfId="0" applyFont="1" applyFill="1" applyBorder="1" applyAlignment="1" applyProtection="1">
      <alignment horizontal="left" indent="1"/>
      <protection locked="0"/>
    </xf>
    <xf numFmtId="0" fontId="5" fillId="0" borderId="10" xfId="0" applyFont="1" applyFill="1" applyBorder="1" applyAlignment="1" applyProtection="1">
      <alignment horizontal="left" indent="1"/>
      <protection locked="0"/>
    </xf>
    <xf numFmtId="0" fontId="5" fillId="0" borderId="59" xfId="0" applyFont="1" applyFill="1" applyBorder="1" applyAlignment="1" applyProtection="1">
      <alignment horizontal="left" indent="1"/>
      <protection locked="0"/>
    </xf>
    <xf numFmtId="0" fontId="5" fillId="0" borderId="0" xfId="0" applyFont="1" applyFill="1" applyAlignment="1" applyProtection="1">
      <alignment horizontal="left"/>
    </xf>
    <xf numFmtId="0" fontId="35" fillId="0" borderId="0" xfId="0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 wrapText="1"/>
    </xf>
    <xf numFmtId="164" fontId="14" fillId="0" borderId="0" xfId="4" applyNumberFormat="1" applyFont="1" applyFill="1" applyBorder="1" applyAlignment="1" applyProtection="1">
      <alignment horizontal="center" vertical="center"/>
    </xf>
    <xf numFmtId="164" fontId="35" fillId="0" borderId="20" xfId="4" applyNumberFormat="1" applyFont="1" applyFill="1" applyBorder="1" applyAlignment="1" applyProtection="1">
      <alignment horizontal="left"/>
    </xf>
    <xf numFmtId="164" fontId="35" fillId="0" borderId="20" xfId="4" applyNumberFormat="1" applyFont="1" applyFill="1" applyBorder="1" applyAlignment="1" applyProtection="1">
      <alignment horizontal="left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2" fillId="0" borderId="4" xfId="0" applyNumberFormat="1" applyFont="1" applyFill="1" applyBorder="1" applyAlignment="1" applyProtection="1">
      <alignment horizontal="left" vertical="center" wrapText="1" indent="2"/>
    </xf>
    <xf numFmtId="164" fontId="32" fillId="0" borderId="56" xfId="0" applyNumberFormat="1" applyFont="1" applyFill="1" applyBorder="1" applyAlignment="1" applyProtection="1">
      <alignment horizontal="left" vertical="center" wrapText="1" indent="2"/>
    </xf>
    <xf numFmtId="164" fontId="32" fillId="0" borderId="60" xfId="0" applyNumberFormat="1" applyFont="1" applyFill="1" applyBorder="1" applyAlignment="1" applyProtection="1">
      <alignment horizontal="center" vertical="center"/>
    </xf>
    <xf numFmtId="164" fontId="32" fillId="0" borderId="61" xfId="0" applyNumberFormat="1" applyFont="1" applyFill="1" applyBorder="1" applyAlignment="1" applyProtection="1">
      <alignment horizontal="center" vertical="center"/>
    </xf>
    <xf numFmtId="164" fontId="32" fillId="0" borderId="1" xfId="0" applyNumberFormat="1" applyFont="1" applyFill="1" applyBorder="1" applyAlignment="1" applyProtection="1">
      <alignment horizontal="center" vertical="center"/>
    </xf>
    <xf numFmtId="164" fontId="32" fillId="0" borderId="64" xfId="0" applyNumberFormat="1" applyFont="1" applyFill="1" applyBorder="1" applyAlignment="1" applyProtection="1">
      <alignment horizontal="center" vertical="center"/>
    </xf>
    <xf numFmtId="164" fontId="32" fillId="0" borderId="40" xfId="0" applyNumberFormat="1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>
      <alignment horizontal="justify" vertical="center" wrapText="1"/>
    </xf>
    <xf numFmtId="0" fontId="42" fillId="0" borderId="0" xfId="0" applyFont="1" applyAlignment="1">
      <alignment horizontal="center" wrapText="1"/>
    </xf>
    <xf numFmtId="0" fontId="42" fillId="0" borderId="0" xfId="5" applyFont="1" applyFill="1" applyAlignment="1" applyProtection="1">
      <alignment horizontal="center" wrapText="1"/>
    </xf>
    <xf numFmtId="0" fontId="42" fillId="0" borderId="0" xfId="5" applyFont="1" applyFill="1" applyAlignment="1" applyProtection="1">
      <alignment horizontal="center"/>
    </xf>
    <xf numFmtId="0" fontId="52" fillId="0" borderId="0" xfId="5" applyFont="1" applyFill="1" applyAlignment="1" applyProtection="1">
      <alignment horizontal="center"/>
      <protection locked="0"/>
    </xf>
    <xf numFmtId="0" fontId="43" fillId="0" borderId="43" xfId="5" applyFont="1" applyFill="1" applyBorder="1" applyAlignment="1" applyProtection="1">
      <alignment horizontal="left" vertical="center" indent="1"/>
    </xf>
    <xf numFmtId="0" fontId="43" fillId="0" borderId="17" xfId="5" applyFont="1" applyFill="1" applyBorder="1" applyAlignment="1" applyProtection="1">
      <alignment horizontal="left" vertical="center" indent="1"/>
    </xf>
    <xf numFmtId="0" fontId="43" fillId="0" borderId="56" xfId="5" applyFont="1" applyFill="1" applyBorder="1" applyAlignment="1" applyProtection="1">
      <alignment horizontal="left" vertical="center" indent="1"/>
    </xf>
    <xf numFmtId="0" fontId="43" fillId="0" borderId="45" xfId="5" applyFont="1" applyFill="1" applyBorder="1" applyAlignment="1" applyProtection="1">
      <alignment horizontal="left" vertical="center" indent="1"/>
    </xf>
    <xf numFmtId="0" fontId="43" fillId="0" borderId="20" xfId="5" applyFont="1" applyFill="1" applyBorder="1" applyAlignment="1" applyProtection="1">
      <alignment horizontal="left" vertical="center" indent="1"/>
    </xf>
    <xf numFmtId="0" fontId="43" fillId="0" borderId="39" xfId="5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 applyProtection="1">
      <alignment horizontal="left" vertical="center" indent="2"/>
    </xf>
    <xf numFmtId="0" fontId="7" fillId="0" borderId="19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I163"/>
  <sheetViews>
    <sheetView view="pageLayout" topLeftCell="C50" zoomScaleNormal="98" zoomScaleSheetLayoutView="100" workbookViewId="0">
      <selection activeCell="I55" sqref="I55"/>
    </sheetView>
  </sheetViews>
  <sheetFormatPr defaultRowHeight="15.75"/>
  <cols>
    <col min="1" max="1" width="9.5" style="36" customWidth="1"/>
    <col min="2" max="2" width="71.6640625" style="36" customWidth="1"/>
    <col min="3" max="9" width="21.6640625" style="111" customWidth="1"/>
    <col min="10" max="16384" width="9.33203125" style="36"/>
  </cols>
  <sheetData>
    <row r="1" spans="1:9">
      <c r="B1" s="471" t="s">
        <v>689</v>
      </c>
    </row>
    <row r="2" spans="1:9">
      <c r="B2" s="471" t="s">
        <v>688</v>
      </c>
    </row>
    <row r="5" spans="1:9" ht="15.95" customHeight="1">
      <c r="A5" s="735" t="s">
        <v>13</v>
      </c>
      <c r="B5" s="735"/>
      <c r="C5" s="36"/>
      <c r="D5" s="36"/>
      <c r="E5" s="36"/>
      <c r="F5" s="36"/>
      <c r="G5" s="36"/>
      <c r="H5" s="36"/>
      <c r="I5" s="36"/>
    </row>
    <row r="6" spans="1:9" ht="15.95" customHeight="1" thickBot="1">
      <c r="A6" s="734" t="s">
        <v>144</v>
      </c>
      <c r="B6" s="734"/>
      <c r="C6" s="37" t="s">
        <v>588</v>
      </c>
      <c r="D6" s="37" t="s">
        <v>588</v>
      </c>
      <c r="E6" s="37" t="s">
        <v>588</v>
      </c>
      <c r="F6" s="37" t="s">
        <v>588</v>
      </c>
      <c r="G6" s="37" t="s">
        <v>588</v>
      </c>
      <c r="H6" s="37" t="s">
        <v>588</v>
      </c>
      <c r="I6" s="37" t="s">
        <v>588</v>
      </c>
    </row>
    <row r="7" spans="1:9" ht="38.1" customHeight="1" thickBot="1">
      <c r="A7" s="38" t="s">
        <v>66</v>
      </c>
      <c r="B7" s="39" t="s">
        <v>15</v>
      </c>
      <c r="C7" s="9" t="s">
        <v>687</v>
      </c>
      <c r="D7" s="9" t="s">
        <v>738</v>
      </c>
      <c r="E7" s="9" t="s">
        <v>743</v>
      </c>
      <c r="F7" s="9" t="s">
        <v>758</v>
      </c>
      <c r="G7" s="9" t="s">
        <v>760</v>
      </c>
      <c r="H7" s="9" t="s">
        <v>773</v>
      </c>
      <c r="I7" s="9" t="s">
        <v>780</v>
      </c>
    </row>
    <row r="8" spans="1:9" s="43" customFormat="1" ht="12" customHeight="1" thickBot="1">
      <c r="A8" s="40" t="s">
        <v>485</v>
      </c>
      <c r="B8" s="41" t="s">
        <v>486</v>
      </c>
      <c r="C8" s="42" t="s">
        <v>487</v>
      </c>
      <c r="D8" s="42" t="s">
        <v>487</v>
      </c>
      <c r="E8" s="42" t="s">
        <v>487</v>
      </c>
      <c r="F8" s="42" t="s">
        <v>487</v>
      </c>
      <c r="G8" s="42" t="s">
        <v>487</v>
      </c>
      <c r="H8" s="42" t="s">
        <v>487</v>
      </c>
      <c r="I8" s="42" t="s">
        <v>487</v>
      </c>
    </row>
    <row r="9" spans="1:9" s="47" customFormat="1" ht="12" customHeight="1" thickBot="1">
      <c r="A9" s="44" t="s">
        <v>16</v>
      </c>
      <c r="B9" s="45" t="s">
        <v>243</v>
      </c>
      <c r="C9" s="46">
        <f t="shared" ref="C9:H9" si="0">+C10+C11+C12+C13+C14+C15</f>
        <v>218395679</v>
      </c>
      <c r="D9" s="46">
        <f t="shared" si="0"/>
        <v>218917790</v>
      </c>
      <c r="E9" s="46">
        <f t="shared" si="0"/>
        <v>217376765</v>
      </c>
      <c r="F9" s="46">
        <f t="shared" si="0"/>
        <v>239578465</v>
      </c>
      <c r="G9" s="46">
        <f t="shared" si="0"/>
        <v>240984602</v>
      </c>
      <c r="H9" s="46">
        <f t="shared" si="0"/>
        <v>248091282</v>
      </c>
      <c r="I9" s="46">
        <f>+I10+I11+I12+I13+I14+I15</f>
        <v>249841722</v>
      </c>
    </row>
    <row r="10" spans="1:9" s="47" customFormat="1" ht="12" customHeight="1">
      <c r="A10" s="48" t="s">
        <v>95</v>
      </c>
      <c r="B10" s="49" t="s">
        <v>244</v>
      </c>
      <c r="C10" s="50">
        <v>117822978</v>
      </c>
      <c r="D10" s="50">
        <v>117822978</v>
      </c>
      <c r="E10" s="50">
        <v>117822978</v>
      </c>
      <c r="F10" s="50">
        <v>117822978</v>
      </c>
      <c r="G10" s="50">
        <v>117822978</v>
      </c>
      <c r="H10" s="50">
        <v>117822978</v>
      </c>
      <c r="I10" s="50">
        <v>117996462</v>
      </c>
    </row>
    <row r="11" spans="1:9" s="47" customFormat="1" ht="12" customHeight="1">
      <c r="A11" s="51" t="s">
        <v>96</v>
      </c>
      <c r="B11" s="52" t="s">
        <v>245</v>
      </c>
      <c r="C11" s="53">
        <v>56900500</v>
      </c>
      <c r="D11" s="53">
        <v>56900500</v>
      </c>
      <c r="E11" s="53">
        <v>54085700</v>
      </c>
      <c r="F11" s="53">
        <v>54085700</v>
      </c>
      <c r="G11" s="53">
        <v>54085700</v>
      </c>
      <c r="H11" s="53">
        <v>57292900</v>
      </c>
      <c r="I11" s="53">
        <v>57292900</v>
      </c>
    </row>
    <row r="12" spans="1:9" s="47" customFormat="1" ht="12" customHeight="1">
      <c r="A12" s="51" t="s">
        <v>97</v>
      </c>
      <c r="B12" s="52" t="s">
        <v>246</v>
      </c>
      <c r="C12" s="53">
        <v>40194081</v>
      </c>
      <c r="D12" s="53">
        <v>40194081</v>
      </c>
      <c r="E12" s="53">
        <v>40042081</v>
      </c>
      <c r="F12" s="53">
        <v>40042081</v>
      </c>
      <c r="G12" s="53">
        <v>40042081</v>
      </c>
      <c r="H12" s="53">
        <v>40233721</v>
      </c>
      <c r="I12" s="53">
        <v>40752031</v>
      </c>
    </row>
    <row r="13" spans="1:9" s="47" customFormat="1" ht="12" customHeight="1">
      <c r="A13" s="51" t="s">
        <v>98</v>
      </c>
      <c r="B13" s="52" t="s">
        <v>247</v>
      </c>
      <c r="C13" s="53">
        <v>3063720</v>
      </c>
      <c r="D13" s="53">
        <f>3063720+280587</f>
        <v>3344307</v>
      </c>
      <c r="E13" s="53">
        <v>3942952</v>
      </c>
      <c r="F13" s="53">
        <v>3942952</v>
      </c>
      <c r="G13" s="53">
        <v>4224018</v>
      </c>
      <c r="H13" s="53">
        <f>4542651</f>
        <v>4542651</v>
      </c>
      <c r="I13" s="53">
        <v>4635145</v>
      </c>
    </row>
    <row r="14" spans="1:9" s="47" customFormat="1" ht="12" customHeight="1">
      <c r="A14" s="51" t="s">
        <v>141</v>
      </c>
      <c r="B14" s="54" t="s">
        <v>428</v>
      </c>
      <c r="C14" s="53">
        <v>414400</v>
      </c>
      <c r="D14" s="53">
        <f>414400+241524</f>
        <v>655924</v>
      </c>
      <c r="E14" s="53">
        <v>1483054</v>
      </c>
      <c r="F14" s="53">
        <v>23684754</v>
      </c>
      <c r="G14" s="53">
        <v>24809825</v>
      </c>
      <c r="H14" s="53">
        <v>28199032</v>
      </c>
      <c r="I14" s="53">
        <v>29165184</v>
      </c>
    </row>
    <row r="15" spans="1:9" s="47" customFormat="1" ht="12" customHeight="1" thickBot="1">
      <c r="A15" s="55" t="s">
        <v>99</v>
      </c>
      <c r="B15" s="56" t="s">
        <v>429</v>
      </c>
      <c r="C15" s="53"/>
      <c r="D15" s="53"/>
      <c r="E15" s="53"/>
      <c r="F15" s="53"/>
      <c r="G15" s="53"/>
      <c r="H15" s="53"/>
      <c r="I15" s="53"/>
    </row>
    <row r="16" spans="1:9" s="47" customFormat="1" ht="12" customHeight="1" thickBot="1">
      <c r="A16" s="44" t="s">
        <v>17</v>
      </c>
      <c r="B16" s="57" t="s">
        <v>248</v>
      </c>
      <c r="C16" s="46">
        <f t="shared" ref="C16:H16" si="1">+C17+C18+C19+C20+C21</f>
        <v>75494632</v>
      </c>
      <c r="D16" s="46">
        <f t="shared" si="1"/>
        <v>78433035</v>
      </c>
      <c r="E16" s="46">
        <f t="shared" si="1"/>
        <v>76889152</v>
      </c>
      <c r="F16" s="46">
        <f t="shared" si="1"/>
        <v>57187452</v>
      </c>
      <c r="G16" s="46">
        <f t="shared" si="1"/>
        <v>60918574</v>
      </c>
      <c r="H16" s="46">
        <f t="shared" si="1"/>
        <v>61967710</v>
      </c>
      <c r="I16" s="46">
        <f>+I17+I18+I19+I20+I21</f>
        <v>61967710</v>
      </c>
    </row>
    <row r="17" spans="1:9" s="47" customFormat="1" ht="12" customHeight="1">
      <c r="A17" s="48" t="s">
        <v>101</v>
      </c>
      <c r="B17" s="49" t="s">
        <v>249</v>
      </c>
      <c r="C17" s="50"/>
      <c r="D17" s="50"/>
      <c r="E17" s="50"/>
      <c r="F17" s="50"/>
      <c r="G17" s="50"/>
      <c r="H17" s="50"/>
      <c r="I17" s="50"/>
    </row>
    <row r="18" spans="1:9" s="47" customFormat="1" ht="12" customHeight="1">
      <c r="A18" s="51" t="s">
        <v>102</v>
      </c>
      <c r="B18" s="52" t="s">
        <v>250</v>
      </c>
      <c r="C18" s="53"/>
      <c r="D18" s="53"/>
      <c r="E18" s="53"/>
      <c r="F18" s="53"/>
      <c r="G18" s="53"/>
      <c r="H18" s="53"/>
      <c r="I18" s="53"/>
    </row>
    <row r="19" spans="1:9" s="47" customFormat="1" ht="12" customHeight="1">
      <c r="A19" s="51" t="s">
        <v>103</v>
      </c>
      <c r="B19" s="52" t="s">
        <v>418</v>
      </c>
      <c r="C19" s="53"/>
      <c r="D19" s="53"/>
      <c r="E19" s="53"/>
      <c r="F19" s="53"/>
      <c r="G19" s="53"/>
      <c r="H19" s="53"/>
      <c r="I19" s="53"/>
    </row>
    <row r="20" spans="1:9" s="47" customFormat="1" ht="12" customHeight="1">
      <c r="A20" s="51" t="s">
        <v>104</v>
      </c>
      <c r="B20" s="52" t="s">
        <v>419</v>
      </c>
      <c r="C20" s="53"/>
      <c r="D20" s="53"/>
      <c r="E20" s="53"/>
      <c r="F20" s="53"/>
      <c r="G20" s="53"/>
      <c r="H20" s="53"/>
      <c r="I20" s="53"/>
    </row>
    <row r="21" spans="1:9" s="47" customFormat="1" ht="12" customHeight="1">
      <c r="A21" s="51" t="s">
        <v>105</v>
      </c>
      <c r="B21" s="52" t="s">
        <v>251</v>
      </c>
      <c r="C21" s="53">
        <f>73241871+1252761+1000000</f>
        <v>75494632</v>
      </c>
      <c r="D21" s="53">
        <f>76180274+1252761+1000000</f>
        <v>78433035</v>
      </c>
      <c r="E21" s="53">
        <f>74594319+1000000+1294833</f>
        <v>76889152</v>
      </c>
      <c r="F21" s="53">
        <f>54892619+1000000+1294833</f>
        <v>57187452</v>
      </c>
      <c r="G21" s="53">
        <f>57452379+2171362+1294833</f>
        <v>60918574</v>
      </c>
      <c r="H21" s="53">
        <f>58501515+2171362+1294833</f>
        <v>61967710</v>
      </c>
      <c r="I21" s="53">
        <v>61967710</v>
      </c>
    </row>
    <row r="22" spans="1:9" s="47" customFormat="1" ht="12" customHeight="1" thickBot="1">
      <c r="A22" s="55" t="s">
        <v>114</v>
      </c>
      <c r="B22" s="56" t="s">
        <v>252</v>
      </c>
      <c r="C22" s="58"/>
      <c r="D22" s="58"/>
      <c r="E22" s="58"/>
      <c r="F22" s="58"/>
      <c r="G22" s="58"/>
      <c r="H22" s="58"/>
      <c r="I22" s="58"/>
    </row>
    <row r="23" spans="1:9" s="47" customFormat="1" ht="12" customHeight="1" thickBot="1">
      <c r="A23" s="44" t="s">
        <v>18</v>
      </c>
      <c r="B23" s="45" t="s">
        <v>253</v>
      </c>
      <c r="C23" s="46">
        <f t="shared" ref="C23:H23" si="2">+C24+C25+C26+C27+C28</f>
        <v>55972518</v>
      </c>
      <c r="D23" s="46">
        <f t="shared" si="2"/>
        <v>55972518</v>
      </c>
      <c r="E23" s="46">
        <f t="shared" si="2"/>
        <v>66275833</v>
      </c>
      <c r="F23" s="46">
        <f t="shared" si="2"/>
        <v>66275833</v>
      </c>
      <c r="G23" s="46">
        <f t="shared" si="2"/>
        <v>66275833</v>
      </c>
      <c r="H23" s="46">
        <f t="shared" si="2"/>
        <v>66782561</v>
      </c>
      <c r="I23" s="46">
        <f>+I24+I25+I26+I27+I28</f>
        <v>66782561</v>
      </c>
    </row>
    <row r="24" spans="1:9" s="47" customFormat="1" ht="12" customHeight="1">
      <c r="A24" s="48" t="s">
        <v>84</v>
      </c>
      <c r="B24" s="49" t="s">
        <v>254</v>
      </c>
      <c r="C24" s="50"/>
      <c r="D24" s="50"/>
      <c r="E24" s="50"/>
      <c r="F24" s="50"/>
      <c r="G24" s="50"/>
      <c r="H24" s="50">
        <f>506728</f>
        <v>506728</v>
      </c>
      <c r="I24" s="50">
        <f>506728</f>
        <v>506728</v>
      </c>
    </row>
    <row r="25" spans="1:9" s="47" customFormat="1" ht="12" customHeight="1">
      <c r="A25" s="51" t="s">
        <v>85</v>
      </c>
      <c r="B25" s="52" t="s">
        <v>255</v>
      </c>
      <c r="C25" s="53"/>
      <c r="D25" s="53"/>
      <c r="E25" s="53"/>
      <c r="F25" s="53"/>
      <c r="G25" s="53"/>
      <c r="H25" s="53"/>
      <c r="I25" s="53"/>
    </row>
    <row r="26" spans="1:9" s="47" customFormat="1" ht="12" customHeight="1">
      <c r="A26" s="51" t="s">
        <v>86</v>
      </c>
      <c r="B26" s="52" t="s">
        <v>420</v>
      </c>
      <c r="C26" s="53"/>
      <c r="D26" s="53"/>
      <c r="E26" s="53"/>
      <c r="F26" s="53"/>
      <c r="G26" s="53"/>
      <c r="H26" s="53"/>
      <c r="I26" s="53"/>
    </row>
    <row r="27" spans="1:9" s="47" customFormat="1" ht="12" customHeight="1">
      <c r="A27" s="51" t="s">
        <v>87</v>
      </c>
      <c r="B27" s="52" t="s">
        <v>421</v>
      </c>
      <c r="C27" s="53"/>
      <c r="D27" s="53"/>
      <c r="E27" s="53"/>
      <c r="F27" s="53"/>
      <c r="G27" s="53"/>
      <c r="H27" s="53"/>
      <c r="I27" s="53"/>
    </row>
    <row r="28" spans="1:9" s="47" customFormat="1" ht="12" customHeight="1">
      <c r="A28" s="51" t="s">
        <v>162</v>
      </c>
      <c r="B28" s="52" t="s">
        <v>256</v>
      </c>
      <c r="C28" s="53">
        <v>55972518</v>
      </c>
      <c r="D28" s="53">
        <v>55972518</v>
      </c>
      <c r="E28" s="53">
        <f>66275833</f>
        <v>66275833</v>
      </c>
      <c r="F28" s="53">
        <f>66275833</f>
        <v>66275833</v>
      </c>
      <c r="G28" s="53">
        <f>66275833</f>
        <v>66275833</v>
      </c>
      <c r="H28" s="53">
        <f>66275833</f>
        <v>66275833</v>
      </c>
      <c r="I28" s="53">
        <v>66275833</v>
      </c>
    </row>
    <row r="29" spans="1:9" s="47" customFormat="1" ht="12" customHeight="1" thickBot="1">
      <c r="A29" s="55" t="s">
        <v>163</v>
      </c>
      <c r="B29" s="59" t="s">
        <v>257</v>
      </c>
      <c r="C29" s="58"/>
      <c r="D29" s="58"/>
      <c r="E29" s="58"/>
      <c r="F29" s="58"/>
      <c r="G29" s="58"/>
      <c r="H29" s="58"/>
      <c r="I29" s="58"/>
    </row>
    <row r="30" spans="1:9" s="47" customFormat="1" ht="12" customHeight="1" thickBot="1">
      <c r="A30" s="44" t="s">
        <v>164</v>
      </c>
      <c r="B30" s="45" t="s">
        <v>258</v>
      </c>
      <c r="C30" s="60">
        <f t="shared" ref="C30:H30" si="3">+C31+C35+C36+C37</f>
        <v>129930000</v>
      </c>
      <c r="D30" s="60">
        <f t="shared" si="3"/>
        <v>129930000</v>
      </c>
      <c r="E30" s="60">
        <f t="shared" si="3"/>
        <v>129935000</v>
      </c>
      <c r="F30" s="60">
        <f t="shared" si="3"/>
        <v>129935000</v>
      </c>
      <c r="G30" s="60">
        <f t="shared" si="3"/>
        <v>129935000</v>
      </c>
      <c r="H30" s="60">
        <f t="shared" si="3"/>
        <v>147935000</v>
      </c>
      <c r="I30" s="60">
        <f>+I31+I35+I36+I37</f>
        <v>157863000</v>
      </c>
    </row>
    <row r="31" spans="1:9" s="47" customFormat="1" ht="12" customHeight="1">
      <c r="A31" s="48" t="s">
        <v>259</v>
      </c>
      <c r="B31" s="49" t="s">
        <v>435</v>
      </c>
      <c r="C31" s="61">
        <f t="shared" ref="C31:H31" si="4">+C32+C33+C34</f>
        <v>94400000</v>
      </c>
      <c r="D31" s="61">
        <f t="shared" si="4"/>
        <v>94400000</v>
      </c>
      <c r="E31" s="61">
        <f t="shared" si="4"/>
        <v>94400000</v>
      </c>
      <c r="F31" s="61">
        <f t="shared" si="4"/>
        <v>94400000</v>
      </c>
      <c r="G31" s="61">
        <f t="shared" si="4"/>
        <v>94400000</v>
      </c>
      <c r="H31" s="61">
        <f t="shared" si="4"/>
        <v>106400000</v>
      </c>
      <c r="I31" s="61">
        <f>+I32+I33+I34</f>
        <v>114650000</v>
      </c>
    </row>
    <row r="32" spans="1:9" s="47" customFormat="1" ht="12" customHeight="1">
      <c r="A32" s="51" t="s">
        <v>260</v>
      </c>
      <c r="B32" s="52" t="s">
        <v>265</v>
      </c>
      <c r="C32" s="53">
        <v>56400000</v>
      </c>
      <c r="D32" s="53">
        <v>56400000</v>
      </c>
      <c r="E32" s="53">
        <v>56400000</v>
      </c>
      <c r="F32" s="53">
        <v>56400000</v>
      </c>
      <c r="G32" s="53">
        <v>56400000</v>
      </c>
      <c r="H32" s="53">
        <v>61400000</v>
      </c>
      <c r="I32" s="53">
        <f>61400000+500000</f>
        <v>61900000</v>
      </c>
    </row>
    <row r="33" spans="1:9" s="47" customFormat="1" ht="12" customHeight="1">
      <c r="A33" s="51" t="s">
        <v>261</v>
      </c>
      <c r="B33" s="52" t="s">
        <v>266</v>
      </c>
      <c r="C33" s="53"/>
      <c r="D33" s="53"/>
      <c r="E33" s="53"/>
      <c r="F33" s="53"/>
      <c r="G33" s="53"/>
      <c r="H33" s="53"/>
      <c r="I33" s="53"/>
    </row>
    <row r="34" spans="1:9" s="47" customFormat="1" ht="12" customHeight="1">
      <c r="A34" s="51" t="s">
        <v>433</v>
      </c>
      <c r="B34" s="62" t="s">
        <v>434</v>
      </c>
      <c r="C34" s="53">
        <v>38000000</v>
      </c>
      <c r="D34" s="53">
        <v>38000000</v>
      </c>
      <c r="E34" s="53">
        <v>38000000</v>
      </c>
      <c r="F34" s="53">
        <v>38000000</v>
      </c>
      <c r="G34" s="53">
        <v>38000000</v>
      </c>
      <c r="H34" s="53">
        <v>45000000</v>
      </c>
      <c r="I34" s="53">
        <f>50000000+250000+2500000</f>
        <v>52750000</v>
      </c>
    </row>
    <row r="35" spans="1:9" s="47" customFormat="1" ht="12" customHeight="1">
      <c r="A35" s="51" t="s">
        <v>262</v>
      </c>
      <c r="B35" s="52" t="s">
        <v>267</v>
      </c>
      <c r="C35" s="53">
        <v>7400000</v>
      </c>
      <c r="D35" s="53">
        <v>7400000</v>
      </c>
      <c r="E35" s="53">
        <v>7400000</v>
      </c>
      <c r="F35" s="53">
        <v>7400000</v>
      </c>
      <c r="G35" s="53">
        <v>7400000</v>
      </c>
      <c r="H35" s="53">
        <v>10400000</v>
      </c>
      <c r="I35" s="53">
        <f>10400000+500000</f>
        <v>10900000</v>
      </c>
    </row>
    <row r="36" spans="1:9" s="47" customFormat="1" ht="12" customHeight="1">
      <c r="A36" s="51" t="s">
        <v>263</v>
      </c>
      <c r="B36" s="52" t="s">
        <v>268</v>
      </c>
      <c r="C36" s="53">
        <v>27500000</v>
      </c>
      <c r="D36" s="53">
        <v>27500000</v>
      </c>
      <c r="E36" s="53">
        <v>27500000</v>
      </c>
      <c r="F36" s="53">
        <v>27500000</v>
      </c>
      <c r="G36" s="53">
        <v>27500000</v>
      </c>
      <c r="H36" s="53">
        <v>30000000</v>
      </c>
      <c r="I36" s="53">
        <f>30410000+420000</f>
        <v>30830000</v>
      </c>
    </row>
    <row r="37" spans="1:9" s="47" customFormat="1" ht="12" customHeight="1" thickBot="1">
      <c r="A37" s="55" t="s">
        <v>264</v>
      </c>
      <c r="B37" s="59" t="s">
        <v>269</v>
      </c>
      <c r="C37" s="58">
        <v>630000</v>
      </c>
      <c r="D37" s="58">
        <v>630000</v>
      </c>
      <c r="E37" s="58">
        <f>630000+5000</f>
        <v>635000</v>
      </c>
      <c r="F37" s="58">
        <f>630000+5000</f>
        <v>635000</v>
      </c>
      <c r="G37" s="58">
        <f>630000+5000</f>
        <v>635000</v>
      </c>
      <c r="H37" s="58">
        <f>1130000+5000</f>
        <v>1135000</v>
      </c>
      <c r="I37" s="58">
        <f>1223000+50000+210000</f>
        <v>1483000</v>
      </c>
    </row>
    <row r="38" spans="1:9" s="47" customFormat="1" ht="12" customHeight="1" thickBot="1">
      <c r="A38" s="44" t="s">
        <v>20</v>
      </c>
      <c r="B38" s="45" t="s">
        <v>430</v>
      </c>
      <c r="C38" s="46">
        <f t="shared" ref="C38:H38" si="5">SUM(C39:C49)</f>
        <v>144014787</v>
      </c>
      <c r="D38" s="46">
        <f t="shared" si="5"/>
        <v>144014787</v>
      </c>
      <c r="E38" s="46">
        <f t="shared" si="5"/>
        <v>143885521</v>
      </c>
      <c r="F38" s="46">
        <f t="shared" si="5"/>
        <v>143885521</v>
      </c>
      <c r="G38" s="46">
        <f t="shared" si="5"/>
        <v>178555521</v>
      </c>
      <c r="H38" s="46">
        <f t="shared" si="5"/>
        <v>180070521</v>
      </c>
      <c r="I38" s="46">
        <f>SUM(I39:I49)</f>
        <v>183401521</v>
      </c>
    </row>
    <row r="39" spans="1:9" s="47" customFormat="1" ht="12" customHeight="1">
      <c r="A39" s="48" t="s">
        <v>88</v>
      </c>
      <c r="B39" s="49" t="s">
        <v>272</v>
      </c>
      <c r="C39" s="50"/>
      <c r="D39" s="50"/>
      <c r="E39" s="50"/>
      <c r="F39" s="50"/>
      <c r="G39" s="50"/>
      <c r="H39" s="50"/>
      <c r="I39" s="50"/>
    </row>
    <row r="40" spans="1:9" s="47" customFormat="1" ht="12" customHeight="1">
      <c r="A40" s="51" t="s">
        <v>89</v>
      </c>
      <c r="B40" s="52" t="s">
        <v>273</v>
      </c>
      <c r="C40" s="53">
        <f>94800709-79573589+1050000+2120000+79573589</f>
        <v>97970709</v>
      </c>
      <c r="D40" s="53">
        <f>94800709-79573589+1050000+2120000+79573589</f>
        <v>97970709</v>
      </c>
      <c r="E40" s="53">
        <f>11465754+86322995</f>
        <v>97788749</v>
      </c>
      <c r="F40" s="53">
        <f>11465754+86322995</f>
        <v>97788749</v>
      </c>
      <c r="G40" s="53">
        <f>31317922+93635827</f>
        <v>124953749</v>
      </c>
      <c r="H40" s="53">
        <f>34311812+91721937</f>
        <v>126033749</v>
      </c>
      <c r="I40" s="53">
        <f>35766812+91086937+1200000</f>
        <v>128053749</v>
      </c>
    </row>
    <row r="41" spans="1:9" s="47" customFormat="1" ht="12" customHeight="1">
      <c r="A41" s="51" t="s">
        <v>90</v>
      </c>
      <c r="B41" s="52" t="s">
        <v>274</v>
      </c>
      <c r="C41" s="53">
        <f>2400000+560000+400000</f>
        <v>3360000</v>
      </c>
      <c r="D41" s="53">
        <f>2400000+560000+400000</f>
        <v>3360000</v>
      </c>
      <c r="E41" s="53">
        <f>3360000</f>
        <v>3360000</v>
      </c>
      <c r="F41" s="53">
        <f>3360000</f>
        <v>3360000</v>
      </c>
      <c r="G41" s="53">
        <f>3560000</f>
        <v>3560000</v>
      </c>
      <c r="H41" s="53">
        <f>3610000</f>
        <v>3610000</v>
      </c>
      <c r="I41" s="53">
        <f>3735000+200000</f>
        <v>3935000</v>
      </c>
    </row>
    <row r="42" spans="1:9" s="47" customFormat="1" ht="12" customHeight="1">
      <c r="A42" s="51" t="s">
        <v>166</v>
      </c>
      <c r="B42" s="52" t="s">
        <v>275</v>
      </c>
      <c r="C42" s="53"/>
      <c r="D42" s="53"/>
      <c r="E42" s="53"/>
      <c r="F42" s="53"/>
      <c r="G42" s="53"/>
      <c r="H42" s="53"/>
      <c r="I42" s="53"/>
    </row>
    <row r="43" spans="1:9" s="47" customFormat="1" ht="12" customHeight="1">
      <c r="A43" s="51" t="s">
        <v>167</v>
      </c>
      <c r="B43" s="52" t="s">
        <v>276</v>
      </c>
      <c r="C43" s="53">
        <v>1500000</v>
      </c>
      <c r="D43" s="53">
        <v>1500000</v>
      </c>
      <c r="E43" s="53">
        <f>1500000</f>
        <v>1500000</v>
      </c>
      <c r="F43" s="53">
        <f>1500000</f>
        <v>1500000</v>
      </c>
      <c r="G43" s="53">
        <f>1500000</f>
        <v>1500000</v>
      </c>
      <c r="H43" s="53">
        <f>1800000</f>
        <v>1800000</v>
      </c>
      <c r="I43" s="53">
        <f>1835000</f>
        <v>1835000</v>
      </c>
    </row>
    <row r="44" spans="1:9" s="47" customFormat="1" ht="12" customHeight="1">
      <c r="A44" s="51" t="s">
        <v>168</v>
      </c>
      <c r="B44" s="52" t="s">
        <v>277</v>
      </c>
      <c r="C44" s="53">
        <f>26748983-21484869+2282276+19202593</f>
        <v>26748983</v>
      </c>
      <c r="D44" s="53">
        <f>26748983-21484869+2282276+19202593</f>
        <v>26748983</v>
      </c>
      <c r="E44" s="53">
        <f>5674921+21024932</f>
        <v>26699853</v>
      </c>
      <c r="F44" s="53">
        <f>5674921+21024932</f>
        <v>26699853</v>
      </c>
      <c r="G44" s="53">
        <f>5674921+28224932</f>
        <v>33899853</v>
      </c>
      <c r="H44" s="53">
        <f>5674921+28224932</f>
        <v>33899853</v>
      </c>
      <c r="I44" s="53">
        <f>6204921+28224932+380000</f>
        <v>34809853</v>
      </c>
    </row>
    <row r="45" spans="1:9" s="47" customFormat="1" ht="12" customHeight="1">
      <c r="A45" s="51" t="s">
        <v>169</v>
      </c>
      <c r="B45" s="52" t="s">
        <v>278</v>
      </c>
      <c r="C45" s="53">
        <v>14000000</v>
      </c>
      <c r="D45" s="53">
        <v>14000000</v>
      </c>
      <c r="E45" s="53">
        <f>14000000</f>
        <v>14000000</v>
      </c>
      <c r="F45" s="53">
        <f>14000000</f>
        <v>14000000</v>
      </c>
      <c r="G45" s="53">
        <f>14000000</f>
        <v>14000000</v>
      </c>
      <c r="H45" s="53">
        <f>14000000</f>
        <v>14000000</v>
      </c>
      <c r="I45" s="53">
        <f>14000000</f>
        <v>14000000</v>
      </c>
    </row>
    <row r="46" spans="1:9" s="47" customFormat="1" ht="12" customHeight="1">
      <c r="A46" s="51" t="s">
        <v>170</v>
      </c>
      <c r="B46" s="52" t="s">
        <v>279</v>
      </c>
      <c r="C46" s="53">
        <f>20000+140+100</f>
        <v>20240</v>
      </c>
      <c r="D46" s="53">
        <f>20000+140+100</f>
        <v>20240</v>
      </c>
      <c r="E46" s="53">
        <f>20240</f>
        <v>20240</v>
      </c>
      <c r="F46" s="53">
        <f>20240</f>
        <v>20240</v>
      </c>
      <c r="G46" s="53">
        <f>20240</f>
        <v>20240</v>
      </c>
      <c r="H46" s="53">
        <f>20240</f>
        <v>20240</v>
      </c>
      <c r="I46" s="53">
        <f>20240</f>
        <v>20240</v>
      </c>
    </row>
    <row r="47" spans="1:9" s="47" customFormat="1" ht="12" customHeight="1">
      <c r="A47" s="51" t="s">
        <v>270</v>
      </c>
      <c r="B47" s="52" t="s">
        <v>280</v>
      </c>
      <c r="C47" s="63"/>
      <c r="D47" s="63"/>
      <c r="E47" s="63"/>
      <c r="F47" s="63"/>
      <c r="G47" s="63"/>
      <c r="H47" s="63"/>
      <c r="I47" s="63"/>
    </row>
    <row r="48" spans="1:9" s="47" customFormat="1" ht="12" customHeight="1">
      <c r="A48" s="55" t="s">
        <v>271</v>
      </c>
      <c r="B48" s="59" t="s">
        <v>432</v>
      </c>
      <c r="C48" s="64"/>
      <c r="D48" s="64"/>
      <c r="E48" s="64"/>
      <c r="F48" s="64"/>
      <c r="G48" s="64"/>
      <c r="H48" s="64"/>
      <c r="I48" s="64"/>
    </row>
    <row r="49" spans="1:9" s="47" customFormat="1" ht="12" customHeight="1" thickBot="1">
      <c r="A49" s="55" t="s">
        <v>431</v>
      </c>
      <c r="B49" s="56" t="s">
        <v>281</v>
      </c>
      <c r="C49" s="64">
        <f>412855+1000+1000</f>
        <v>414855</v>
      </c>
      <c r="D49" s="64">
        <f>412855+1000+1000</f>
        <v>414855</v>
      </c>
      <c r="E49" s="64">
        <f>516679</f>
        <v>516679</v>
      </c>
      <c r="F49" s="64">
        <f>516679</f>
        <v>516679</v>
      </c>
      <c r="G49" s="64">
        <f>621679</f>
        <v>621679</v>
      </c>
      <c r="H49" s="64">
        <f>706679</f>
        <v>706679</v>
      </c>
      <c r="I49" s="64">
        <f>747679</f>
        <v>747679</v>
      </c>
    </row>
    <row r="50" spans="1:9" s="47" customFormat="1" ht="12" customHeight="1" thickBot="1">
      <c r="A50" s="44" t="s">
        <v>21</v>
      </c>
      <c r="B50" s="45" t="s">
        <v>282</v>
      </c>
      <c r="C50" s="46">
        <f t="shared" ref="C50:H50" si="6">SUM(C51:C55)</f>
        <v>0</v>
      </c>
      <c r="D50" s="46">
        <f t="shared" si="6"/>
        <v>0</v>
      </c>
      <c r="E50" s="46">
        <f t="shared" si="6"/>
        <v>0</v>
      </c>
      <c r="F50" s="46">
        <f t="shared" si="6"/>
        <v>0</v>
      </c>
      <c r="G50" s="46">
        <f t="shared" si="6"/>
        <v>0</v>
      </c>
      <c r="H50" s="46">
        <f t="shared" si="6"/>
        <v>0</v>
      </c>
      <c r="I50" s="46">
        <f>SUM(I51:I55)</f>
        <v>9574</v>
      </c>
    </row>
    <row r="51" spans="1:9" s="47" customFormat="1" ht="12" customHeight="1">
      <c r="A51" s="48" t="s">
        <v>91</v>
      </c>
      <c r="B51" s="49" t="s">
        <v>286</v>
      </c>
      <c r="C51" s="65"/>
      <c r="D51" s="65"/>
      <c r="E51" s="65"/>
      <c r="F51" s="65"/>
      <c r="G51" s="65"/>
      <c r="H51" s="65"/>
      <c r="I51" s="65"/>
    </row>
    <row r="52" spans="1:9" s="47" customFormat="1" ht="12" customHeight="1">
      <c r="A52" s="51" t="s">
        <v>92</v>
      </c>
      <c r="B52" s="52" t="s">
        <v>287</v>
      </c>
      <c r="C52" s="63"/>
      <c r="D52" s="63"/>
      <c r="E52" s="63"/>
      <c r="F52" s="63"/>
      <c r="G52" s="63"/>
      <c r="H52" s="63"/>
      <c r="I52" s="63"/>
    </row>
    <row r="53" spans="1:9" s="47" customFormat="1" ht="12" customHeight="1">
      <c r="A53" s="51" t="s">
        <v>283</v>
      </c>
      <c r="B53" s="52" t="s">
        <v>288</v>
      </c>
      <c r="C53" s="63"/>
      <c r="D53" s="63"/>
      <c r="E53" s="63"/>
      <c r="F53" s="63"/>
      <c r="G53" s="63"/>
      <c r="H53" s="63"/>
      <c r="I53" s="63"/>
    </row>
    <row r="54" spans="1:9" s="47" customFormat="1" ht="12" customHeight="1">
      <c r="A54" s="51" t="s">
        <v>284</v>
      </c>
      <c r="B54" s="52" t="s">
        <v>289</v>
      </c>
      <c r="C54" s="63"/>
      <c r="D54" s="63"/>
      <c r="E54" s="63"/>
      <c r="F54" s="63"/>
      <c r="G54" s="63"/>
      <c r="H54" s="63"/>
      <c r="I54" s="63">
        <v>9574</v>
      </c>
    </row>
    <row r="55" spans="1:9" s="47" customFormat="1" ht="12" customHeight="1" thickBot="1">
      <c r="A55" s="55" t="s">
        <v>285</v>
      </c>
      <c r="B55" s="56" t="s">
        <v>290</v>
      </c>
      <c r="C55" s="64"/>
      <c r="D55" s="64"/>
      <c r="E55" s="64"/>
      <c r="F55" s="64"/>
      <c r="G55" s="64"/>
      <c r="H55" s="64"/>
      <c r="I55" s="64"/>
    </row>
    <row r="56" spans="1:9" s="47" customFormat="1" ht="12" customHeight="1" thickBot="1">
      <c r="A56" s="44" t="s">
        <v>171</v>
      </c>
      <c r="B56" s="45" t="s">
        <v>291</v>
      </c>
      <c r="C56" s="46">
        <f t="shared" ref="C56:H56" si="7">SUM(C57:C59)</f>
        <v>0</v>
      </c>
      <c r="D56" s="46">
        <f t="shared" si="7"/>
        <v>0</v>
      </c>
      <c r="E56" s="46">
        <f t="shared" si="7"/>
        <v>0</v>
      </c>
      <c r="F56" s="46">
        <f t="shared" si="7"/>
        <v>0</v>
      </c>
      <c r="G56" s="46">
        <f t="shared" si="7"/>
        <v>0</v>
      </c>
      <c r="H56" s="46">
        <f t="shared" si="7"/>
        <v>0</v>
      </c>
      <c r="I56" s="46">
        <f>SUM(I57:I59)</f>
        <v>0</v>
      </c>
    </row>
    <row r="57" spans="1:9" s="47" customFormat="1" ht="12" customHeight="1">
      <c r="A57" s="48" t="s">
        <v>93</v>
      </c>
      <c r="B57" s="49" t="s">
        <v>292</v>
      </c>
      <c r="C57" s="50"/>
      <c r="D57" s="50"/>
      <c r="E57" s="50"/>
      <c r="F57" s="50"/>
      <c r="G57" s="50"/>
      <c r="H57" s="50"/>
      <c r="I57" s="50"/>
    </row>
    <row r="58" spans="1:9" s="47" customFormat="1" ht="12" customHeight="1">
      <c r="A58" s="51" t="s">
        <v>94</v>
      </c>
      <c r="B58" s="52" t="s">
        <v>422</v>
      </c>
      <c r="C58" s="53"/>
      <c r="D58" s="53"/>
      <c r="E58" s="53"/>
      <c r="F58" s="53"/>
      <c r="G58" s="53"/>
      <c r="H58" s="53"/>
      <c r="I58" s="53"/>
    </row>
    <row r="59" spans="1:9" s="47" customFormat="1" ht="12" customHeight="1">
      <c r="A59" s="51" t="s">
        <v>295</v>
      </c>
      <c r="B59" s="52" t="s">
        <v>293</v>
      </c>
      <c r="C59" s="53"/>
      <c r="D59" s="53"/>
      <c r="E59" s="53"/>
      <c r="F59" s="53"/>
      <c r="G59" s="53"/>
      <c r="H59" s="53"/>
      <c r="I59" s="53"/>
    </row>
    <row r="60" spans="1:9" s="47" customFormat="1" ht="12" customHeight="1" thickBot="1">
      <c r="A60" s="55" t="s">
        <v>296</v>
      </c>
      <c r="B60" s="56" t="s">
        <v>294</v>
      </c>
      <c r="C60" s="58"/>
      <c r="D60" s="58"/>
      <c r="E60" s="58"/>
      <c r="F60" s="58"/>
      <c r="G60" s="58"/>
      <c r="H60" s="58"/>
      <c r="I60" s="58"/>
    </row>
    <row r="61" spans="1:9" s="47" customFormat="1" ht="12" customHeight="1" thickBot="1">
      <c r="A61" s="44" t="s">
        <v>23</v>
      </c>
      <c r="B61" s="57" t="s">
        <v>297</v>
      </c>
      <c r="C61" s="46">
        <f t="shared" ref="C61:H61" si="8">SUM(C62:C64)</f>
        <v>120000</v>
      </c>
      <c r="D61" s="46">
        <f t="shared" si="8"/>
        <v>120000</v>
      </c>
      <c r="E61" s="46">
        <f t="shared" si="8"/>
        <v>120000</v>
      </c>
      <c r="F61" s="46">
        <f t="shared" si="8"/>
        <v>120000</v>
      </c>
      <c r="G61" s="46">
        <f t="shared" si="8"/>
        <v>120000</v>
      </c>
      <c r="H61" s="46">
        <f t="shared" si="8"/>
        <v>120000</v>
      </c>
      <c r="I61" s="46">
        <f>SUM(I62:I64)</f>
        <v>226000</v>
      </c>
    </row>
    <row r="62" spans="1:9" s="47" customFormat="1" ht="12" customHeight="1">
      <c r="A62" s="48" t="s">
        <v>172</v>
      </c>
      <c r="B62" s="49" t="s">
        <v>299</v>
      </c>
      <c r="C62" s="63"/>
      <c r="D62" s="63"/>
      <c r="E62" s="63"/>
      <c r="F62" s="63"/>
      <c r="G62" s="63"/>
      <c r="H62" s="63"/>
      <c r="I62" s="63"/>
    </row>
    <row r="63" spans="1:9" s="47" customFormat="1" ht="12" customHeight="1">
      <c r="A63" s="51" t="s">
        <v>173</v>
      </c>
      <c r="B63" s="52" t="s">
        <v>423</v>
      </c>
      <c r="C63" s="63">
        <v>120000</v>
      </c>
      <c r="D63" s="63">
        <v>120000</v>
      </c>
      <c r="E63" s="63">
        <f>120000</f>
        <v>120000</v>
      </c>
      <c r="F63" s="63">
        <f>120000</f>
        <v>120000</v>
      </c>
      <c r="G63" s="63">
        <f>120000</f>
        <v>120000</v>
      </c>
      <c r="H63" s="63">
        <f>120000</f>
        <v>120000</v>
      </c>
      <c r="I63" s="63">
        <f>120000+106000</f>
        <v>226000</v>
      </c>
    </row>
    <row r="64" spans="1:9" s="47" customFormat="1" ht="12" customHeight="1">
      <c r="A64" s="51" t="s">
        <v>221</v>
      </c>
      <c r="B64" s="52" t="s">
        <v>300</v>
      </c>
      <c r="C64" s="63"/>
      <c r="D64" s="63"/>
      <c r="E64" s="63"/>
      <c r="F64" s="63"/>
      <c r="G64" s="63"/>
      <c r="H64" s="63"/>
      <c r="I64" s="63"/>
    </row>
    <row r="65" spans="1:9" s="47" customFormat="1" ht="12" customHeight="1" thickBot="1">
      <c r="A65" s="55" t="s">
        <v>298</v>
      </c>
      <c r="B65" s="56" t="s">
        <v>301</v>
      </c>
      <c r="C65" s="63"/>
      <c r="D65" s="63"/>
      <c r="E65" s="63"/>
      <c r="F65" s="63"/>
      <c r="G65" s="63"/>
      <c r="H65" s="63"/>
      <c r="I65" s="63"/>
    </row>
    <row r="66" spans="1:9" s="47" customFormat="1" ht="12" customHeight="1" thickBot="1">
      <c r="A66" s="66" t="s">
        <v>474</v>
      </c>
      <c r="B66" s="45" t="s">
        <v>302</v>
      </c>
      <c r="C66" s="60">
        <f t="shared" ref="C66:H66" si="9">+C9+C16+C23+C30+C38+C50+C56+C61</f>
        <v>623927616</v>
      </c>
      <c r="D66" s="60">
        <f t="shared" si="9"/>
        <v>627388130</v>
      </c>
      <c r="E66" s="60">
        <f t="shared" si="9"/>
        <v>634482271</v>
      </c>
      <c r="F66" s="60">
        <f t="shared" si="9"/>
        <v>636982271</v>
      </c>
      <c r="G66" s="60">
        <f t="shared" si="9"/>
        <v>676789530</v>
      </c>
      <c r="H66" s="60">
        <f t="shared" si="9"/>
        <v>704967074</v>
      </c>
      <c r="I66" s="60">
        <f>+I9+I16+I23+I30+I38+I50+I56+I61</f>
        <v>720092088</v>
      </c>
    </row>
    <row r="67" spans="1:9" s="47" customFormat="1" ht="12" customHeight="1" thickBot="1">
      <c r="A67" s="67" t="s">
        <v>303</v>
      </c>
      <c r="B67" s="57" t="s">
        <v>304</v>
      </c>
      <c r="C67" s="46">
        <f t="shared" ref="C67:H67" si="10">SUM(C68:C70)</f>
        <v>0</v>
      </c>
      <c r="D67" s="46">
        <f t="shared" si="10"/>
        <v>0</v>
      </c>
      <c r="E67" s="46">
        <f t="shared" si="10"/>
        <v>0</v>
      </c>
      <c r="F67" s="46">
        <f t="shared" si="10"/>
        <v>0</v>
      </c>
      <c r="G67" s="46">
        <f t="shared" si="10"/>
        <v>0</v>
      </c>
      <c r="H67" s="46">
        <f t="shared" si="10"/>
        <v>0</v>
      </c>
      <c r="I67" s="46">
        <f>SUM(I68:I70)</f>
        <v>0</v>
      </c>
    </row>
    <row r="68" spans="1:9" s="47" customFormat="1" ht="12" customHeight="1">
      <c r="A68" s="48" t="s">
        <v>335</v>
      </c>
      <c r="B68" s="49" t="s">
        <v>305</v>
      </c>
      <c r="C68" s="63"/>
      <c r="D68" s="63"/>
      <c r="E68" s="63"/>
      <c r="F68" s="63"/>
      <c r="G68" s="63"/>
      <c r="H68" s="63"/>
      <c r="I68" s="63"/>
    </row>
    <row r="69" spans="1:9" s="47" customFormat="1" ht="12" customHeight="1">
      <c r="A69" s="51" t="s">
        <v>344</v>
      </c>
      <c r="B69" s="52" t="s">
        <v>306</v>
      </c>
      <c r="C69" s="63"/>
      <c r="D69" s="63"/>
      <c r="E69" s="63"/>
      <c r="F69" s="63"/>
      <c r="G69" s="63"/>
      <c r="H69" s="63"/>
      <c r="I69" s="63"/>
    </row>
    <row r="70" spans="1:9" s="47" customFormat="1" ht="12" customHeight="1" thickBot="1">
      <c r="A70" s="55" t="s">
        <v>345</v>
      </c>
      <c r="B70" s="68" t="s">
        <v>459</v>
      </c>
      <c r="C70" s="63"/>
      <c r="D70" s="63"/>
      <c r="E70" s="63"/>
      <c r="F70" s="63"/>
      <c r="G70" s="63"/>
      <c r="H70" s="63"/>
      <c r="I70" s="63"/>
    </row>
    <row r="71" spans="1:9" s="47" customFormat="1" ht="12" customHeight="1" thickBot="1">
      <c r="A71" s="67" t="s">
        <v>308</v>
      </c>
      <c r="B71" s="57" t="s">
        <v>309</v>
      </c>
      <c r="C71" s="46">
        <f t="shared" ref="C71:H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9574</v>
      </c>
      <c r="H71" s="46">
        <f t="shared" si="11"/>
        <v>9574</v>
      </c>
      <c r="I71" s="46">
        <f>SUM(I72:I75)</f>
        <v>0</v>
      </c>
    </row>
    <row r="72" spans="1:9" s="47" customFormat="1" ht="12" customHeight="1">
      <c r="A72" s="48" t="s">
        <v>142</v>
      </c>
      <c r="B72" s="49" t="s">
        <v>310</v>
      </c>
      <c r="C72" s="63"/>
      <c r="D72" s="63"/>
      <c r="E72" s="63"/>
      <c r="F72" s="63"/>
      <c r="G72" s="63"/>
      <c r="H72" s="63"/>
      <c r="I72" s="63"/>
    </row>
    <row r="73" spans="1:9" s="47" customFormat="1" ht="12" customHeight="1">
      <c r="A73" s="51" t="s">
        <v>143</v>
      </c>
      <c r="B73" s="52" t="s">
        <v>311</v>
      </c>
      <c r="C73" s="63"/>
      <c r="D73" s="63"/>
      <c r="E73" s="63"/>
      <c r="F73" s="63"/>
      <c r="G73" s="63"/>
      <c r="H73" s="63"/>
      <c r="I73" s="63"/>
    </row>
    <row r="74" spans="1:9" s="47" customFormat="1" ht="12" customHeight="1">
      <c r="A74" s="51" t="s">
        <v>336</v>
      </c>
      <c r="B74" s="52" t="s">
        <v>312</v>
      </c>
      <c r="C74" s="63"/>
      <c r="D74" s="63"/>
      <c r="E74" s="63"/>
      <c r="F74" s="63"/>
      <c r="G74" s="63">
        <f>9574</f>
        <v>9574</v>
      </c>
      <c r="H74" s="63">
        <f>9574</f>
        <v>9574</v>
      </c>
      <c r="I74" s="63"/>
    </row>
    <row r="75" spans="1:9" s="47" customFormat="1" ht="12" customHeight="1" thickBot="1">
      <c r="A75" s="55" t="s">
        <v>337</v>
      </c>
      <c r="B75" s="56" t="s">
        <v>313</v>
      </c>
      <c r="C75" s="63"/>
      <c r="D75" s="63"/>
      <c r="E75" s="63"/>
      <c r="F75" s="63"/>
      <c r="G75" s="63"/>
      <c r="H75" s="63"/>
      <c r="I75" s="63"/>
    </row>
    <row r="76" spans="1:9" s="47" customFormat="1" ht="12" customHeight="1" thickBot="1">
      <c r="A76" s="67" t="s">
        <v>314</v>
      </c>
      <c r="B76" s="57" t="s">
        <v>315</v>
      </c>
      <c r="C76" s="46">
        <f t="shared" ref="C76:H76" si="12">SUM(C77:C78)</f>
        <v>609665168</v>
      </c>
      <c r="D76" s="46">
        <f t="shared" si="12"/>
        <v>609665168</v>
      </c>
      <c r="E76" s="46">
        <f t="shared" si="12"/>
        <v>610260913</v>
      </c>
      <c r="F76" s="46">
        <f t="shared" si="12"/>
        <v>610260913</v>
      </c>
      <c r="G76" s="46">
        <f t="shared" si="12"/>
        <v>610260913</v>
      </c>
      <c r="H76" s="46">
        <f t="shared" si="12"/>
        <v>610260913</v>
      </c>
      <c r="I76" s="46">
        <f>SUM(I77:I78)</f>
        <v>610260913</v>
      </c>
    </row>
    <row r="77" spans="1:9" s="47" customFormat="1" ht="12" customHeight="1">
      <c r="A77" s="48" t="s">
        <v>338</v>
      </c>
      <c r="B77" s="49" t="s">
        <v>316</v>
      </c>
      <c r="C77" s="63">
        <f>606054429+3610739</f>
        <v>609665168</v>
      </c>
      <c r="D77" s="63">
        <f>606054429+3610739</f>
        <v>609665168</v>
      </c>
      <c r="E77" s="63">
        <f>610260913</f>
        <v>610260913</v>
      </c>
      <c r="F77" s="63">
        <f>610260913</f>
        <v>610260913</v>
      </c>
      <c r="G77" s="63">
        <f>610260913</f>
        <v>610260913</v>
      </c>
      <c r="H77" s="63">
        <f>610260913</f>
        <v>610260913</v>
      </c>
      <c r="I77" s="63">
        <f>610260913</f>
        <v>610260913</v>
      </c>
    </row>
    <row r="78" spans="1:9" s="47" customFormat="1" ht="12" customHeight="1" thickBot="1">
      <c r="A78" s="55" t="s">
        <v>339</v>
      </c>
      <c r="B78" s="56" t="s">
        <v>317</v>
      </c>
      <c r="C78" s="63"/>
      <c r="D78" s="63"/>
      <c r="E78" s="63"/>
      <c r="F78" s="63"/>
      <c r="G78" s="63"/>
      <c r="H78" s="63"/>
      <c r="I78" s="63"/>
    </row>
    <row r="79" spans="1:9" s="47" customFormat="1" ht="12" customHeight="1" thickBot="1">
      <c r="A79" s="67" t="s">
        <v>318</v>
      </c>
      <c r="B79" s="57" t="s">
        <v>319</v>
      </c>
      <c r="C79" s="46">
        <f t="shared" ref="C79:H79" si="13">SUM(C80:C82)</f>
        <v>0</v>
      </c>
      <c r="D79" s="46">
        <f t="shared" si="13"/>
        <v>72564</v>
      </c>
      <c r="E79" s="46">
        <f t="shared" si="13"/>
        <v>72564</v>
      </c>
      <c r="F79" s="46">
        <f t="shared" si="13"/>
        <v>72564</v>
      </c>
      <c r="G79" s="46">
        <f t="shared" si="13"/>
        <v>72564</v>
      </c>
      <c r="H79" s="46">
        <f t="shared" si="13"/>
        <v>72564</v>
      </c>
      <c r="I79" s="46">
        <f>SUM(I80:I82)</f>
        <v>8180284</v>
      </c>
    </row>
    <row r="80" spans="1:9" s="47" customFormat="1" ht="12" customHeight="1">
      <c r="A80" s="48" t="s">
        <v>340</v>
      </c>
      <c r="B80" s="49" t="s">
        <v>320</v>
      </c>
      <c r="C80" s="63"/>
      <c r="D80" s="63">
        <v>72564</v>
      </c>
      <c r="E80" s="63">
        <f>72564</f>
        <v>72564</v>
      </c>
      <c r="F80" s="63">
        <f>72564</f>
        <v>72564</v>
      </c>
      <c r="G80" s="63">
        <f>72564</f>
        <v>72564</v>
      </c>
      <c r="H80" s="63">
        <f>72564</f>
        <v>72564</v>
      </c>
      <c r="I80" s="63">
        <v>8180284</v>
      </c>
    </row>
    <row r="81" spans="1:9" s="47" customFormat="1" ht="12" customHeight="1">
      <c r="A81" s="51" t="s">
        <v>341</v>
      </c>
      <c r="B81" s="52" t="s">
        <v>321</v>
      </c>
      <c r="C81" s="63"/>
      <c r="D81" s="63"/>
      <c r="E81" s="63"/>
      <c r="F81" s="63"/>
      <c r="G81" s="63"/>
      <c r="H81" s="63"/>
      <c r="I81" s="63"/>
    </row>
    <row r="82" spans="1:9" s="47" customFormat="1" ht="12" customHeight="1" thickBot="1">
      <c r="A82" s="55" t="s">
        <v>342</v>
      </c>
      <c r="B82" s="56" t="s">
        <v>322</v>
      </c>
      <c r="C82" s="63"/>
      <c r="D82" s="63"/>
      <c r="E82" s="63"/>
      <c r="F82" s="63"/>
      <c r="G82" s="63"/>
      <c r="H82" s="63"/>
      <c r="I82" s="63"/>
    </row>
    <row r="83" spans="1:9" s="47" customFormat="1" ht="12" customHeight="1" thickBot="1">
      <c r="A83" s="67" t="s">
        <v>323</v>
      </c>
      <c r="B83" s="57" t="s">
        <v>343</v>
      </c>
      <c r="C83" s="46">
        <f t="shared" ref="C83:H83" si="14">SUM(C84:C87)</f>
        <v>0</v>
      </c>
      <c r="D83" s="46">
        <f t="shared" si="14"/>
        <v>0</v>
      </c>
      <c r="E83" s="46">
        <f t="shared" si="14"/>
        <v>0</v>
      </c>
      <c r="F83" s="46">
        <f t="shared" si="14"/>
        <v>0</v>
      </c>
      <c r="G83" s="46">
        <f t="shared" si="14"/>
        <v>0</v>
      </c>
      <c r="H83" s="46">
        <f t="shared" si="14"/>
        <v>0</v>
      </c>
      <c r="I83" s="46">
        <f>SUM(I84:I87)</f>
        <v>0</v>
      </c>
    </row>
    <row r="84" spans="1:9" s="47" customFormat="1" ht="12" customHeight="1">
      <c r="A84" s="69" t="s">
        <v>324</v>
      </c>
      <c r="B84" s="49" t="s">
        <v>325</v>
      </c>
      <c r="C84" s="63"/>
      <c r="D84" s="63"/>
      <c r="E84" s="63"/>
      <c r="F84" s="63"/>
      <c r="G84" s="63"/>
      <c r="H84" s="63"/>
      <c r="I84" s="63"/>
    </row>
    <row r="85" spans="1:9" s="47" customFormat="1" ht="12" customHeight="1">
      <c r="A85" s="70" t="s">
        <v>326</v>
      </c>
      <c r="B85" s="52" t="s">
        <v>327</v>
      </c>
      <c r="C85" s="63"/>
      <c r="D85" s="63"/>
      <c r="E85" s="63"/>
      <c r="F85" s="63"/>
      <c r="G85" s="63"/>
      <c r="H85" s="63"/>
      <c r="I85" s="63"/>
    </row>
    <row r="86" spans="1:9" s="47" customFormat="1" ht="12" customHeight="1">
      <c r="A86" s="70" t="s">
        <v>328</v>
      </c>
      <c r="B86" s="52" t="s">
        <v>329</v>
      </c>
      <c r="C86" s="63"/>
      <c r="D86" s="63"/>
      <c r="E86" s="63"/>
      <c r="F86" s="63"/>
      <c r="G86" s="63"/>
      <c r="H86" s="63"/>
      <c r="I86" s="63"/>
    </row>
    <row r="87" spans="1:9" s="47" customFormat="1" ht="12" customHeight="1" thickBot="1">
      <c r="A87" s="71" t="s">
        <v>330</v>
      </c>
      <c r="B87" s="56" t="s">
        <v>331</v>
      </c>
      <c r="C87" s="63"/>
      <c r="D87" s="63"/>
      <c r="E87" s="63"/>
      <c r="F87" s="63"/>
      <c r="G87" s="63"/>
      <c r="H87" s="63"/>
      <c r="I87" s="63"/>
    </row>
    <row r="88" spans="1:9" s="47" customFormat="1" ht="12" customHeight="1" thickBot="1">
      <c r="A88" s="67" t="s">
        <v>332</v>
      </c>
      <c r="B88" s="57" t="s">
        <v>473</v>
      </c>
      <c r="C88" s="72"/>
      <c r="D88" s="72"/>
      <c r="E88" s="72"/>
      <c r="F88" s="72"/>
      <c r="G88" s="72"/>
      <c r="H88" s="72"/>
      <c r="I88" s="72"/>
    </row>
    <row r="89" spans="1:9" s="47" customFormat="1" ht="13.5" customHeight="1" thickBot="1">
      <c r="A89" s="67" t="s">
        <v>334</v>
      </c>
      <c r="B89" s="57" t="s">
        <v>333</v>
      </c>
      <c r="C89" s="72"/>
      <c r="D89" s="72"/>
      <c r="E89" s="72"/>
      <c r="F89" s="72"/>
      <c r="G89" s="72"/>
      <c r="H89" s="72"/>
      <c r="I89" s="72"/>
    </row>
    <row r="90" spans="1:9" s="47" customFormat="1" ht="15.75" customHeight="1" thickBot="1">
      <c r="A90" s="67" t="s">
        <v>346</v>
      </c>
      <c r="B90" s="73" t="s">
        <v>476</v>
      </c>
      <c r="C90" s="60">
        <f t="shared" ref="C90:H90" si="15">+C67+C71+C76+C79+C83+C89+C88</f>
        <v>609665168</v>
      </c>
      <c r="D90" s="60">
        <f t="shared" si="15"/>
        <v>609737732</v>
      </c>
      <c r="E90" s="60">
        <f t="shared" si="15"/>
        <v>610333477</v>
      </c>
      <c r="F90" s="60">
        <f t="shared" si="15"/>
        <v>610333477</v>
      </c>
      <c r="G90" s="60">
        <f t="shared" si="15"/>
        <v>610343051</v>
      </c>
      <c r="H90" s="60">
        <f t="shared" si="15"/>
        <v>610343051</v>
      </c>
      <c r="I90" s="60">
        <f>+I67+I71+I76+I79+I83+I89+I88</f>
        <v>618441197</v>
      </c>
    </row>
    <row r="91" spans="1:9" s="47" customFormat="1" ht="16.5" customHeight="1" thickBot="1">
      <c r="A91" s="74" t="s">
        <v>475</v>
      </c>
      <c r="B91" s="75" t="s">
        <v>477</v>
      </c>
      <c r="C91" s="60">
        <f t="shared" ref="C91:H91" si="16">+C66+C90</f>
        <v>1233592784</v>
      </c>
      <c r="D91" s="60">
        <f t="shared" si="16"/>
        <v>1237125862</v>
      </c>
      <c r="E91" s="60">
        <f t="shared" si="16"/>
        <v>1244815748</v>
      </c>
      <c r="F91" s="60">
        <f t="shared" si="16"/>
        <v>1247315748</v>
      </c>
      <c r="G91" s="60">
        <f t="shared" si="16"/>
        <v>1287132581</v>
      </c>
      <c r="H91" s="60">
        <f t="shared" si="16"/>
        <v>1315310125</v>
      </c>
      <c r="I91" s="60">
        <f>+I66+I90</f>
        <v>1338533285</v>
      </c>
    </row>
    <row r="92" spans="1:9" s="47" customFormat="1" ht="83.25" customHeight="1">
      <c r="A92" s="76"/>
      <c r="B92" s="77"/>
      <c r="C92" s="78"/>
      <c r="D92" s="78"/>
      <c r="E92" s="78"/>
      <c r="F92" s="78"/>
      <c r="G92" s="78"/>
      <c r="H92" s="78"/>
      <c r="I92" s="78"/>
    </row>
    <row r="93" spans="1:9" ht="16.5" customHeight="1">
      <c r="A93" s="735" t="s">
        <v>44</v>
      </c>
      <c r="B93" s="735"/>
      <c r="C93" s="36"/>
      <c r="D93" s="36"/>
      <c r="E93" s="36"/>
      <c r="F93" s="36"/>
      <c r="G93" s="36"/>
      <c r="H93" s="36"/>
      <c r="I93" s="36"/>
    </row>
    <row r="94" spans="1:9" s="80" customFormat="1" ht="16.5" customHeight="1" thickBot="1">
      <c r="A94" s="736" t="s">
        <v>145</v>
      </c>
      <c r="B94" s="736"/>
      <c r="C94" s="79"/>
      <c r="D94" s="79"/>
      <c r="E94" s="79"/>
      <c r="F94" s="79"/>
      <c r="G94" s="79"/>
      <c r="H94" s="79"/>
      <c r="I94" s="79"/>
    </row>
    <row r="95" spans="1:9" ht="38.1" customHeight="1" thickBot="1">
      <c r="A95" s="38" t="s">
        <v>66</v>
      </c>
      <c r="B95" s="39" t="s">
        <v>45</v>
      </c>
      <c r="C95" s="120" t="s">
        <v>687</v>
      </c>
      <c r="D95" s="9" t="s">
        <v>738</v>
      </c>
      <c r="E95" s="9" t="s">
        <v>743</v>
      </c>
      <c r="F95" s="9" t="s">
        <v>758</v>
      </c>
      <c r="G95" s="9" t="s">
        <v>760</v>
      </c>
      <c r="H95" s="9" t="s">
        <v>773</v>
      </c>
      <c r="I95" s="9" t="s">
        <v>773</v>
      </c>
    </row>
    <row r="96" spans="1:9" s="43" customFormat="1" ht="12" customHeight="1" thickBot="1">
      <c r="A96" s="81" t="s">
        <v>485</v>
      </c>
      <c r="B96" s="82" t="s">
        <v>486</v>
      </c>
      <c r="C96" s="83" t="s">
        <v>487</v>
      </c>
      <c r="D96" s="83" t="s">
        <v>487</v>
      </c>
      <c r="E96" s="83" t="s">
        <v>487</v>
      </c>
      <c r="F96" s="83" t="s">
        <v>487</v>
      </c>
      <c r="G96" s="83" t="s">
        <v>487</v>
      </c>
      <c r="H96" s="83" t="s">
        <v>487</v>
      </c>
      <c r="I96" s="83" t="s">
        <v>487</v>
      </c>
    </row>
    <row r="97" spans="1:9" ht="12" customHeight="1" thickBot="1">
      <c r="A97" s="84" t="s">
        <v>16</v>
      </c>
      <c r="B97" s="85" t="s">
        <v>653</v>
      </c>
      <c r="C97" s="86">
        <f t="shared" ref="C97:H97" si="17">C98+C99+C100+C101+C102+C115</f>
        <v>709179027</v>
      </c>
      <c r="D97" s="86">
        <f t="shared" si="17"/>
        <v>713376141</v>
      </c>
      <c r="E97" s="86">
        <f t="shared" si="17"/>
        <v>721364643</v>
      </c>
      <c r="F97" s="86">
        <f t="shared" si="17"/>
        <v>723864643</v>
      </c>
      <c r="G97" s="86">
        <f t="shared" si="17"/>
        <v>763631476</v>
      </c>
      <c r="H97" s="86">
        <f t="shared" si="17"/>
        <v>784858620</v>
      </c>
      <c r="I97" s="86">
        <f>I98+I99+I100+I101+I102+I115</f>
        <v>799166060</v>
      </c>
    </row>
    <row r="98" spans="1:9" ht="12" customHeight="1">
      <c r="A98" s="87" t="s">
        <v>95</v>
      </c>
      <c r="B98" s="17" t="s">
        <v>46</v>
      </c>
      <c r="C98" s="88">
        <f>76128455-13518800+78769100+14125510+13518800</f>
        <v>169023065</v>
      </c>
      <c r="D98" s="88">
        <f>76780695-13518800+78769100+14125510+13518800</f>
        <v>169675305</v>
      </c>
      <c r="E98" s="88">
        <f>156799933+12993800</f>
        <v>169793733</v>
      </c>
      <c r="F98" s="88">
        <f>156799933+12993800</f>
        <v>169793733</v>
      </c>
      <c r="G98" s="88">
        <f>163804264+13799517</f>
        <v>177603781</v>
      </c>
      <c r="H98" s="88">
        <f>164952664+13799517</f>
        <v>178752181</v>
      </c>
      <c r="I98" s="88">
        <f>84631095+13799517+80321569</f>
        <v>178752181</v>
      </c>
    </row>
    <row r="99" spans="1:9" ht="12" customHeight="1">
      <c r="A99" s="51" t="s">
        <v>96</v>
      </c>
      <c r="B99" s="18" t="s">
        <v>174</v>
      </c>
      <c r="C99" s="53">
        <f>16384694-2792432+16172510+3315011+2792432</f>
        <v>35872215</v>
      </c>
      <c r="D99" s="53">
        <f>16448286-2792432+16172510+3315011+2792432</f>
        <v>35935807</v>
      </c>
      <c r="E99" s="53">
        <f>33303046+2690057</f>
        <v>35993103</v>
      </c>
      <c r="F99" s="53">
        <f>33303046+2690057</f>
        <v>35993103</v>
      </c>
      <c r="G99" s="53">
        <f>34464824+2847172</f>
        <v>37311996</v>
      </c>
      <c r="H99" s="53">
        <f>34677898+2847172</f>
        <v>37525070</v>
      </c>
      <c r="I99" s="53">
        <f>18181480+2847172+16496418</f>
        <v>37525070</v>
      </c>
    </row>
    <row r="100" spans="1:9" ht="12" customHeight="1">
      <c r="A100" s="51" t="s">
        <v>97</v>
      </c>
      <c r="B100" s="18" t="s">
        <v>133</v>
      </c>
      <c r="C100" s="58">
        <f>213143994-60620950+28418129+27475210+60620950</f>
        <v>269037333</v>
      </c>
      <c r="D100" s="58">
        <f>213143994-60620950+28418129+27475210+60620950+635000+101600</f>
        <v>269773933</v>
      </c>
      <c r="E100" s="58">
        <f>235270839+68820070</f>
        <v>304090909</v>
      </c>
      <c r="F100" s="58">
        <f>235270839+68820070</f>
        <v>304090909</v>
      </c>
      <c r="G100" s="58">
        <f>235209147+82370070</f>
        <v>317579217</v>
      </c>
      <c r="H100" s="58">
        <f>259349627+82370070</f>
        <v>341719697</v>
      </c>
      <c r="I100" s="58">
        <f>231783960+82370070+28391667</f>
        <v>342545697</v>
      </c>
    </row>
    <row r="101" spans="1:9" ht="12" customHeight="1">
      <c r="A101" s="51" t="s">
        <v>98</v>
      </c>
      <c r="B101" s="89" t="s">
        <v>175</v>
      </c>
      <c r="C101" s="58">
        <f t="shared" ref="C101:I101" si="18">9710000</f>
        <v>9710000</v>
      </c>
      <c r="D101" s="58">
        <f t="shared" si="18"/>
        <v>9710000</v>
      </c>
      <c r="E101" s="58">
        <f t="shared" si="18"/>
        <v>9710000</v>
      </c>
      <c r="F101" s="58">
        <f t="shared" si="18"/>
        <v>9710000</v>
      </c>
      <c r="G101" s="58">
        <f t="shared" si="18"/>
        <v>9710000</v>
      </c>
      <c r="H101" s="58">
        <f t="shared" si="18"/>
        <v>9710000</v>
      </c>
      <c r="I101" s="58">
        <f t="shared" si="18"/>
        <v>9710000</v>
      </c>
    </row>
    <row r="102" spans="1:9" ht="12" customHeight="1">
      <c r="A102" s="51" t="s">
        <v>109</v>
      </c>
      <c r="B102" s="90" t="s">
        <v>176</v>
      </c>
      <c r="C102" s="58">
        <f t="shared" ref="C102:H102" si="19">C103+C104+C105+C106+C107+C108+C109+C110+C111+C112+C113+C114</f>
        <v>151918362</v>
      </c>
      <c r="D102" s="58">
        <f t="shared" si="19"/>
        <v>155906226</v>
      </c>
      <c r="E102" s="58">
        <f t="shared" si="19"/>
        <v>156786215</v>
      </c>
      <c r="F102" s="58">
        <f t="shared" si="19"/>
        <v>159286215</v>
      </c>
      <c r="G102" s="58">
        <f t="shared" si="19"/>
        <v>159286215</v>
      </c>
      <c r="H102" s="58">
        <f t="shared" si="19"/>
        <v>163043415</v>
      </c>
      <c r="I102" s="58">
        <f>I103+I104+I105+I106+I107+I108+I109+I110+I111+I112+I113+I114</f>
        <v>162465415</v>
      </c>
    </row>
    <row r="103" spans="1:9" ht="12" customHeight="1">
      <c r="A103" s="51" t="s">
        <v>99</v>
      </c>
      <c r="B103" s="18" t="s">
        <v>440</v>
      </c>
      <c r="C103" s="58"/>
      <c r="D103" s="58"/>
      <c r="E103" s="58"/>
      <c r="F103" s="58"/>
      <c r="G103" s="58"/>
      <c r="H103" s="58"/>
      <c r="I103" s="58"/>
    </row>
    <row r="104" spans="1:9" ht="12" customHeight="1">
      <c r="A104" s="51" t="s">
        <v>100</v>
      </c>
      <c r="B104" s="91" t="s">
        <v>439</v>
      </c>
      <c r="C104" s="58"/>
      <c r="D104" s="58"/>
      <c r="E104" s="58"/>
      <c r="F104" s="58"/>
      <c r="G104" s="58"/>
      <c r="H104" s="58"/>
      <c r="I104" s="58"/>
    </row>
    <row r="105" spans="1:9" ht="12" customHeight="1">
      <c r="A105" s="51" t="s">
        <v>110</v>
      </c>
      <c r="B105" s="91" t="s">
        <v>438</v>
      </c>
      <c r="C105" s="58">
        <f>272642</f>
        <v>272642</v>
      </c>
      <c r="D105" s="58">
        <f>272642</f>
        <v>272642</v>
      </c>
      <c r="E105" s="58">
        <f>272642</f>
        <v>272642</v>
      </c>
      <c r="F105" s="58">
        <f>272642</f>
        <v>272642</v>
      </c>
      <c r="G105" s="58">
        <f>272642</f>
        <v>272642</v>
      </c>
      <c r="H105" s="58">
        <f>672642</f>
        <v>672642</v>
      </c>
      <c r="I105" s="58">
        <f>672642</f>
        <v>672642</v>
      </c>
    </row>
    <row r="106" spans="1:9" ht="12" customHeight="1">
      <c r="A106" s="51" t="s">
        <v>111</v>
      </c>
      <c r="B106" s="92" t="s">
        <v>349</v>
      </c>
      <c r="C106" s="58"/>
      <c r="D106" s="58"/>
      <c r="E106" s="58"/>
      <c r="F106" s="58"/>
      <c r="G106" s="58"/>
      <c r="H106" s="58"/>
      <c r="I106" s="58"/>
    </row>
    <row r="107" spans="1:9" ht="12" customHeight="1">
      <c r="A107" s="51" t="s">
        <v>112</v>
      </c>
      <c r="B107" s="93" t="s">
        <v>350</v>
      </c>
      <c r="C107" s="58"/>
      <c r="D107" s="58"/>
      <c r="E107" s="58"/>
      <c r="F107" s="58"/>
      <c r="G107" s="58"/>
      <c r="H107" s="58"/>
      <c r="I107" s="58"/>
    </row>
    <row r="108" spans="1:9" ht="12" customHeight="1">
      <c r="A108" s="51" t="s">
        <v>113</v>
      </c>
      <c r="B108" s="93" t="s">
        <v>351</v>
      </c>
      <c r="C108" s="58"/>
      <c r="D108" s="58"/>
      <c r="E108" s="58"/>
      <c r="F108" s="58"/>
      <c r="G108" s="58"/>
      <c r="H108" s="58"/>
      <c r="I108" s="58"/>
    </row>
    <row r="109" spans="1:9" ht="12" customHeight="1">
      <c r="A109" s="51" t="s">
        <v>115</v>
      </c>
      <c r="B109" s="92" t="s">
        <v>352</v>
      </c>
      <c r="C109" s="58">
        <f>112674020</f>
        <v>112674020</v>
      </c>
      <c r="D109" s="58">
        <f>112674020+3987864</f>
        <v>116661884</v>
      </c>
      <c r="E109" s="58">
        <f>117511873</f>
        <v>117511873</v>
      </c>
      <c r="F109" s="58">
        <f>117511873</f>
        <v>117511873</v>
      </c>
      <c r="G109" s="58">
        <f>117511873</f>
        <v>117511873</v>
      </c>
      <c r="H109" s="58">
        <v>120819073</v>
      </c>
      <c r="I109" s="58">
        <f>120819073-95000</f>
        <v>120724073</v>
      </c>
    </row>
    <row r="110" spans="1:9" ht="12" customHeight="1">
      <c r="A110" s="51" t="s">
        <v>177</v>
      </c>
      <c r="B110" s="92" t="s">
        <v>353</v>
      </c>
      <c r="C110" s="58"/>
      <c r="D110" s="58"/>
      <c r="E110" s="58"/>
      <c r="F110" s="58"/>
      <c r="G110" s="58"/>
      <c r="H110" s="58"/>
      <c r="I110" s="58"/>
    </row>
    <row r="111" spans="1:9" ht="12" customHeight="1">
      <c r="A111" s="51" t="s">
        <v>347</v>
      </c>
      <c r="B111" s="93" t="s">
        <v>354</v>
      </c>
      <c r="C111" s="58"/>
      <c r="D111" s="58"/>
      <c r="E111" s="58"/>
      <c r="F111" s="58"/>
      <c r="G111" s="58"/>
      <c r="H111" s="58"/>
      <c r="I111" s="58"/>
    </row>
    <row r="112" spans="1:9" ht="12" customHeight="1">
      <c r="A112" s="94" t="s">
        <v>348</v>
      </c>
      <c r="B112" s="91" t="s">
        <v>355</v>
      </c>
      <c r="C112" s="58"/>
      <c r="D112" s="58"/>
      <c r="E112" s="58"/>
      <c r="F112" s="58"/>
      <c r="G112" s="58"/>
      <c r="H112" s="58"/>
      <c r="I112" s="58"/>
    </row>
    <row r="113" spans="1:9" ht="12" customHeight="1">
      <c r="A113" s="51" t="s">
        <v>436</v>
      </c>
      <c r="B113" s="91" t="s">
        <v>356</v>
      </c>
      <c r="C113" s="58"/>
      <c r="D113" s="58"/>
      <c r="E113" s="58"/>
      <c r="F113" s="58"/>
      <c r="G113" s="58"/>
      <c r="H113" s="58"/>
      <c r="I113" s="58"/>
    </row>
    <row r="114" spans="1:9" ht="12" customHeight="1">
      <c r="A114" s="55" t="s">
        <v>437</v>
      </c>
      <c r="B114" s="91" t="s">
        <v>357</v>
      </c>
      <c r="C114" s="58">
        <f>38971700</f>
        <v>38971700</v>
      </c>
      <c r="D114" s="58">
        <f>38971700</f>
        <v>38971700</v>
      </c>
      <c r="E114" s="58">
        <f>39001700</f>
        <v>39001700</v>
      </c>
      <c r="F114" s="58">
        <f>41501700</f>
        <v>41501700</v>
      </c>
      <c r="G114" s="58">
        <f>41501700</f>
        <v>41501700</v>
      </c>
      <c r="H114" s="58">
        <f>41551700</f>
        <v>41551700</v>
      </c>
      <c r="I114" s="58">
        <f>40973700+95000</f>
        <v>41068700</v>
      </c>
    </row>
    <row r="115" spans="1:9" ht="12" customHeight="1">
      <c r="A115" s="51" t="s">
        <v>441</v>
      </c>
      <c r="B115" s="89" t="s">
        <v>47</v>
      </c>
      <c r="C115" s="53">
        <f t="shared" ref="C115:H115" si="20">C116+C117</f>
        <v>73618052</v>
      </c>
      <c r="D115" s="53">
        <f t="shared" si="20"/>
        <v>72374870</v>
      </c>
      <c r="E115" s="53">
        <f t="shared" si="20"/>
        <v>44990683</v>
      </c>
      <c r="F115" s="53">
        <f t="shared" si="20"/>
        <v>44990683</v>
      </c>
      <c r="G115" s="53">
        <f t="shared" si="20"/>
        <v>62140267</v>
      </c>
      <c r="H115" s="53">
        <f t="shared" si="20"/>
        <v>54108257</v>
      </c>
      <c r="I115" s="53">
        <f>I116+I117</f>
        <v>68167697</v>
      </c>
    </row>
    <row r="116" spans="1:9" ht="12" customHeight="1">
      <c r="A116" s="51" t="s">
        <v>442</v>
      </c>
      <c r="B116" s="18" t="s">
        <v>444</v>
      </c>
      <c r="C116" s="53">
        <v>44412474</v>
      </c>
      <c r="D116" s="53">
        <f>44517474+78540+119640+280587+241524+1919391-3987864</f>
        <v>43169292</v>
      </c>
      <c r="E116" s="53">
        <f>5198937</f>
        <v>5198937</v>
      </c>
      <c r="F116" s="53">
        <f>5198937</f>
        <v>5198937</v>
      </c>
      <c r="G116" s="53">
        <f>12348521</f>
        <v>12348521</v>
      </c>
      <c r="H116" s="53">
        <v>32016511</v>
      </c>
      <c r="I116" s="53">
        <f>39759951+300000+6016000</f>
        <v>46075951</v>
      </c>
    </row>
    <row r="117" spans="1:9" ht="12" customHeight="1" thickBot="1">
      <c r="A117" s="95" t="s">
        <v>443</v>
      </c>
      <c r="B117" s="96" t="s">
        <v>445</v>
      </c>
      <c r="C117" s="97">
        <v>29205578</v>
      </c>
      <c r="D117" s="97">
        <v>29205578</v>
      </c>
      <c r="E117" s="97">
        <f>39791746</f>
        <v>39791746</v>
      </c>
      <c r="F117" s="97">
        <f>39791746</f>
        <v>39791746</v>
      </c>
      <c r="G117" s="97">
        <f>49791746</f>
        <v>49791746</v>
      </c>
      <c r="H117" s="97">
        <v>22091746</v>
      </c>
      <c r="I117" s="97">
        <v>22091746</v>
      </c>
    </row>
    <row r="118" spans="1:9" ht="12" customHeight="1" thickBot="1">
      <c r="A118" s="98" t="s">
        <v>17</v>
      </c>
      <c r="B118" s="99" t="s">
        <v>654</v>
      </c>
      <c r="C118" s="100">
        <f t="shared" ref="C118:H118" si="21">+C119+C121+C123</f>
        <v>516453179</v>
      </c>
      <c r="D118" s="100">
        <f t="shared" si="21"/>
        <v>515716579</v>
      </c>
      <c r="E118" s="100">
        <f t="shared" si="21"/>
        <v>515417963</v>
      </c>
      <c r="F118" s="100">
        <f t="shared" si="21"/>
        <v>515417963</v>
      </c>
      <c r="G118" s="100">
        <f t="shared" si="21"/>
        <v>515467963</v>
      </c>
      <c r="H118" s="100">
        <f t="shared" si="21"/>
        <v>522418363</v>
      </c>
      <c r="I118" s="100">
        <f>+I119+I121+I123</f>
        <v>523226363</v>
      </c>
    </row>
    <row r="119" spans="1:9" ht="12" customHeight="1">
      <c r="A119" s="48" t="s">
        <v>101</v>
      </c>
      <c r="B119" s="18" t="s">
        <v>219</v>
      </c>
      <c r="C119" s="50">
        <f>369875414-15494000+751000+2876220+15494000</f>
        <v>373502634</v>
      </c>
      <c r="D119" s="50">
        <f>369875414-15494000+751000+2876220+15494000-635000-101600</f>
        <v>372766034</v>
      </c>
      <c r="E119" s="50">
        <f>344953569+16417800</f>
        <v>361371369</v>
      </c>
      <c r="F119" s="50">
        <f>344953569+16417800</f>
        <v>361371369</v>
      </c>
      <c r="G119" s="50">
        <f>344953569+16417800</f>
        <v>361371369</v>
      </c>
      <c r="H119" s="50">
        <f>345486969+16417800</f>
        <v>361904769</v>
      </c>
      <c r="I119" s="50">
        <f>345370969+15782800+751000</f>
        <v>361904769</v>
      </c>
    </row>
    <row r="120" spans="1:9" ht="12" customHeight="1">
      <c r="A120" s="48" t="s">
        <v>102</v>
      </c>
      <c r="B120" s="101" t="s">
        <v>361</v>
      </c>
      <c r="C120" s="50"/>
      <c r="D120" s="50"/>
      <c r="E120" s="50"/>
      <c r="F120" s="50"/>
      <c r="G120" s="50"/>
      <c r="H120" s="50"/>
      <c r="I120" s="50"/>
    </row>
    <row r="121" spans="1:9" ht="12" customHeight="1">
      <c r="A121" s="48" t="s">
        <v>103</v>
      </c>
      <c r="B121" s="101" t="s">
        <v>178</v>
      </c>
      <c r="C121" s="53">
        <f>142950545-6350000+6350000</f>
        <v>142950545</v>
      </c>
      <c r="D121" s="53">
        <f>142950545-6350000+6350000</f>
        <v>142950545</v>
      </c>
      <c r="E121" s="53">
        <f>147620394+6426200</f>
        <v>154046594</v>
      </c>
      <c r="F121" s="53">
        <f>147620394+6426200</f>
        <v>154046594</v>
      </c>
      <c r="G121" s="53">
        <f>147620394+6426200</f>
        <v>154046594</v>
      </c>
      <c r="H121" s="53">
        <f>155951284+4512310</f>
        <v>160463594</v>
      </c>
      <c r="I121" s="53">
        <f>156181284+4512310</f>
        <v>160693594</v>
      </c>
    </row>
    <row r="122" spans="1:9" ht="12" customHeight="1">
      <c r="A122" s="48" t="s">
        <v>104</v>
      </c>
      <c r="B122" s="101" t="s">
        <v>362</v>
      </c>
      <c r="C122" s="102"/>
      <c r="D122" s="102"/>
      <c r="E122" s="102"/>
      <c r="F122" s="102"/>
      <c r="G122" s="102"/>
      <c r="H122" s="102"/>
      <c r="I122" s="102"/>
    </row>
    <row r="123" spans="1:9" ht="12" customHeight="1">
      <c r="A123" s="48" t="s">
        <v>105</v>
      </c>
      <c r="B123" s="56" t="s">
        <v>222</v>
      </c>
      <c r="C123" s="102">
        <f t="shared" ref="C123:H123" si="22">C124+C125+C126+C127+C128+C129+C130+C131</f>
        <v>0</v>
      </c>
      <c r="D123" s="102">
        <f t="shared" si="22"/>
        <v>0</v>
      </c>
      <c r="E123" s="102">
        <f t="shared" si="22"/>
        <v>0</v>
      </c>
      <c r="F123" s="102">
        <f t="shared" si="22"/>
        <v>0</v>
      </c>
      <c r="G123" s="102">
        <f t="shared" si="22"/>
        <v>50000</v>
      </c>
      <c r="H123" s="102">
        <f t="shared" si="22"/>
        <v>50000</v>
      </c>
      <c r="I123" s="102">
        <f>I124+I125+I126+I127+I128+I129+I130+I131</f>
        <v>628000</v>
      </c>
    </row>
    <row r="124" spans="1:9" ht="12" customHeight="1">
      <c r="A124" s="48" t="s">
        <v>114</v>
      </c>
      <c r="B124" s="54" t="s">
        <v>424</v>
      </c>
      <c r="C124" s="102"/>
      <c r="D124" s="102"/>
      <c r="E124" s="102"/>
      <c r="F124" s="102"/>
      <c r="G124" s="102"/>
      <c r="H124" s="102"/>
      <c r="I124" s="102"/>
    </row>
    <row r="125" spans="1:9" ht="12" customHeight="1">
      <c r="A125" s="48" t="s">
        <v>116</v>
      </c>
      <c r="B125" s="103" t="s">
        <v>367</v>
      </c>
      <c r="C125" s="102"/>
      <c r="D125" s="102"/>
      <c r="E125" s="102"/>
      <c r="F125" s="102"/>
      <c r="G125" s="102"/>
      <c r="H125" s="102"/>
      <c r="I125" s="102"/>
    </row>
    <row r="126" spans="1:9">
      <c r="A126" s="48" t="s">
        <v>179</v>
      </c>
      <c r="B126" s="93" t="s">
        <v>351</v>
      </c>
      <c r="C126" s="102"/>
      <c r="D126" s="102"/>
      <c r="E126" s="102"/>
      <c r="F126" s="102"/>
      <c r="G126" s="102"/>
      <c r="H126" s="102"/>
      <c r="I126" s="102"/>
    </row>
    <row r="127" spans="1:9" ht="12" customHeight="1">
      <c r="A127" s="48" t="s">
        <v>180</v>
      </c>
      <c r="B127" s="93" t="s">
        <v>366</v>
      </c>
      <c r="C127" s="102"/>
      <c r="D127" s="102"/>
      <c r="E127" s="102"/>
      <c r="F127" s="102"/>
      <c r="G127" s="102"/>
      <c r="H127" s="102"/>
      <c r="I127" s="102"/>
    </row>
    <row r="128" spans="1:9" ht="12" customHeight="1">
      <c r="A128" s="48" t="s">
        <v>181</v>
      </c>
      <c r="B128" s="93" t="s">
        <v>365</v>
      </c>
      <c r="C128" s="102"/>
      <c r="D128" s="102"/>
      <c r="E128" s="102"/>
      <c r="F128" s="102"/>
      <c r="G128" s="102"/>
      <c r="H128" s="102"/>
      <c r="I128" s="102"/>
    </row>
    <row r="129" spans="1:9" ht="12" customHeight="1">
      <c r="A129" s="48" t="s">
        <v>358</v>
      </c>
      <c r="B129" s="93" t="s">
        <v>354</v>
      </c>
      <c r="C129" s="102"/>
      <c r="D129" s="102"/>
      <c r="E129" s="102"/>
      <c r="F129" s="102"/>
      <c r="G129" s="102"/>
      <c r="H129" s="102"/>
      <c r="I129" s="102"/>
    </row>
    <row r="130" spans="1:9" ht="12" customHeight="1">
      <c r="A130" s="48" t="s">
        <v>359</v>
      </c>
      <c r="B130" s="93" t="s">
        <v>364</v>
      </c>
      <c r="C130" s="102"/>
      <c r="D130" s="102"/>
      <c r="E130" s="102"/>
      <c r="F130" s="102"/>
      <c r="G130" s="102"/>
      <c r="H130" s="102"/>
      <c r="I130" s="102"/>
    </row>
    <row r="131" spans="1:9" ht="16.5" thickBot="1">
      <c r="A131" s="94" t="s">
        <v>360</v>
      </c>
      <c r="B131" s="93" t="s">
        <v>363</v>
      </c>
      <c r="C131" s="104"/>
      <c r="D131" s="104"/>
      <c r="E131" s="104"/>
      <c r="F131" s="104"/>
      <c r="G131" s="104">
        <v>50000</v>
      </c>
      <c r="H131" s="104">
        <v>50000</v>
      </c>
      <c r="I131" s="104">
        <f>628000</f>
        <v>628000</v>
      </c>
    </row>
    <row r="132" spans="1:9" ht="12" customHeight="1" thickBot="1">
      <c r="A132" s="44" t="s">
        <v>18</v>
      </c>
      <c r="B132" s="21" t="s">
        <v>446</v>
      </c>
      <c r="C132" s="46">
        <f t="shared" ref="C132:H132" si="23">+C97+C118</f>
        <v>1225632206</v>
      </c>
      <c r="D132" s="46">
        <f t="shared" si="23"/>
        <v>1229092720</v>
      </c>
      <c r="E132" s="46">
        <f t="shared" si="23"/>
        <v>1236782606</v>
      </c>
      <c r="F132" s="46">
        <f t="shared" si="23"/>
        <v>1239282606</v>
      </c>
      <c r="G132" s="46">
        <f t="shared" si="23"/>
        <v>1279099439</v>
      </c>
      <c r="H132" s="46">
        <f t="shared" si="23"/>
        <v>1307276983</v>
      </c>
      <c r="I132" s="46">
        <f>+I97+I118</f>
        <v>1322392423</v>
      </c>
    </row>
    <row r="133" spans="1:9" ht="12" customHeight="1" thickBot="1">
      <c r="A133" s="44" t="s">
        <v>19</v>
      </c>
      <c r="B133" s="21" t="s">
        <v>447</v>
      </c>
      <c r="C133" s="46">
        <f t="shared" ref="C133:H133" si="24">+C134+C135+C136</f>
        <v>0</v>
      </c>
      <c r="D133" s="46">
        <f t="shared" si="24"/>
        <v>0</v>
      </c>
      <c r="E133" s="46">
        <f t="shared" si="24"/>
        <v>0</v>
      </c>
      <c r="F133" s="46">
        <f t="shared" si="24"/>
        <v>0</v>
      </c>
      <c r="G133" s="46">
        <f t="shared" si="24"/>
        <v>0</v>
      </c>
      <c r="H133" s="46">
        <f t="shared" si="24"/>
        <v>0</v>
      </c>
      <c r="I133" s="46">
        <f>+I134+I135+I136</f>
        <v>0</v>
      </c>
    </row>
    <row r="134" spans="1:9" ht="12" customHeight="1">
      <c r="A134" s="48" t="s">
        <v>259</v>
      </c>
      <c r="B134" s="101" t="s">
        <v>454</v>
      </c>
      <c r="C134" s="102"/>
      <c r="D134" s="102"/>
      <c r="E134" s="102"/>
      <c r="F134" s="102"/>
      <c r="G134" s="102"/>
      <c r="H134" s="102"/>
      <c r="I134" s="102"/>
    </row>
    <row r="135" spans="1:9" ht="12" customHeight="1">
      <c r="A135" s="48" t="s">
        <v>262</v>
      </c>
      <c r="B135" s="101" t="s">
        <v>455</v>
      </c>
      <c r="C135" s="102"/>
      <c r="D135" s="102"/>
      <c r="E135" s="102"/>
      <c r="F135" s="102"/>
      <c r="G135" s="102"/>
      <c r="H135" s="102"/>
      <c r="I135" s="102"/>
    </row>
    <row r="136" spans="1:9" ht="12" customHeight="1" thickBot="1">
      <c r="A136" s="94" t="s">
        <v>263</v>
      </c>
      <c r="B136" s="101" t="s">
        <v>456</v>
      </c>
      <c r="C136" s="102"/>
      <c r="D136" s="102"/>
      <c r="E136" s="102"/>
      <c r="F136" s="102"/>
      <c r="G136" s="102"/>
      <c r="H136" s="102"/>
      <c r="I136" s="102"/>
    </row>
    <row r="137" spans="1:9" ht="12" customHeight="1" thickBot="1">
      <c r="A137" s="44" t="s">
        <v>20</v>
      </c>
      <c r="B137" s="21" t="s">
        <v>448</v>
      </c>
      <c r="C137" s="46">
        <f t="shared" ref="C137:H137" si="25">SUM(C138:C143)</f>
        <v>0</v>
      </c>
      <c r="D137" s="46">
        <f t="shared" si="25"/>
        <v>0</v>
      </c>
      <c r="E137" s="46">
        <f t="shared" si="25"/>
        <v>0</v>
      </c>
      <c r="F137" s="46">
        <f t="shared" si="25"/>
        <v>0</v>
      </c>
      <c r="G137" s="46">
        <f t="shared" si="25"/>
        <v>0</v>
      </c>
      <c r="H137" s="46">
        <f t="shared" si="25"/>
        <v>0</v>
      </c>
      <c r="I137" s="46">
        <f>SUM(I138:I143)</f>
        <v>0</v>
      </c>
    </row>
    <row r="138" spans="1:9" ht="12" customHeight="1">
      <c r="A138" s="48" t="s">
        <v>88</v>
      </c>
      <c r="B138" s="20" t="s">
        <v>457</v>
      </c>
      <c r="C138" s="102"/>
      <c r="D138" s="102"/>
      <c r="E138" s="102"/>
      <c r="F138" s="102"/>
      <c r="G138" s="102"/>
      <c r="H138" s="102"/>
      <c r="I138" s="102"/>
    </row>
    <row r="139" spans="1:9" ht="12" customHeight="1">
      <c r="A139" s="48" t="s">
        <v>89</v>
      </c>
      <c r="B139" s="20" t="s">
        <v>449</v>
      </c>
      <c r="C139" s="102"/>
      <c r="D139" s="102"/>
      <c r="E139" s="102"/>
      <c r="F139" s="102"/>
      <c r="G139" s="102"/>
      <c r="H139" s="102"/>
      <c r="I139" s="102"/>
    </row>
    <row r="140" spans="1:9" ht="12" customHeight="1">
      <c r="A140" s="48" t="s">
        <v>90</v>
      </c>
      <c r="B140" s="20" t="s">
        <v>450</v>
      </c>
      <c r="C140" s="102"/>
      <c r="D140" s="102"/>
      <c r="E140" s="102"/>
      <c r="F140" s="102"/>
      <c r="G140" s="102"/>
      <c r="H140" s="102"/>
      <c r="I140" s="102"/>
    </row>
    <row r="141" spans="1:9" ht="12" customHeight="1">
      <c r="A141" s="48" t="s">
        <v>166</v>
      </c>
      <c r="B141" s="20" t="s">
        <v>451</v>
      </c>
      <c r="C141" s="102"/>
      <c r="D141" s="102"/>
      <c r="E141" s="102"/>
      <c r="F141" s="102"/>
      <c r="G141" s="102"/>
      <c r="H141" s="102"/>
      <c r="I141" s="102"/>
    </row>
    <row r="142" spans="1:9" ht="12" customHeight="1">
      <c r="A142" s="48" t="s">
        <v>167</v>
      </c>
      <c r="B142" s="20" t="s">
        <v>452</v>
      </c>
      <c r="C142" s="102"/>
      <c r="D142" s="102"/>
      <c r="E142" s="102"/>
      <c r="F142" s="102"/>
      <c r="G142" s="102"/>
      <c r="H142" s="102"/>
      <c r="I142" s="102"/>
    </row>
    <row r="143" spans="1:9" ht="12" customHeight="1" thickBot="1">
      <c r="A143" s="94" t="s">
        <v>168</v>
      </c>
      <c r="B143" s="20" t="s">
        <v>453</v>
      </c>
      <c r="C143" s="102"/>
      <c r="D143" s="102"/>
      <c r="E143" s="102"/>
      <c r="F143" s="102"/>
      <c r="G143" s="102"/>
      <c r="H143" s="102"/>
      <c r="I143" s="102"/>
    </row>
    <row r="144" spans="1:9" ht="12" customHeight="1" thickBot="1">
      <c r="A144" s="44" t="s">
        <v>21</v>
      </c>
      <c r="B144" s="21" t="s">
        <v>461</v>
      </c>
      <c r="C144" s="60">
        <f t="shared" ref="C144:H144" si="26">+C145+C146+C147+C148</f>
        <v>7960578</v>
      </c>
      <c r="D144" s="60">
        <f t="shared" si="26"/>
        <v>8033142</v>
      </c>
      <c r="E144" s="60">
        <f t="shared" si="26"/>
        <v>8033142</v>
      </c>
      <c r="F144" s="60">
        <f t="shared" si="26"/>
        <v>8033142</v>
      </c>
      <c r="G144" s="60">
        <f t="shared" si="26"/>
        <v>8033142</v>
      </c>
      <c r="H144" s="60">
        <f t="shared" si="26"/>
        <v>8033142</v>
      </c>
      <c r="I144" s="60">
        <f>+I145+I146+I147+I148</f>
        <v>16140862</v>
      </c>
    </row>
    <row r="145" spans="1:9" ht="12" customHeight="1">
      <c r="A145" s="48" t="s">
        <v>91</v>
      </c>
      <c r="B145" s="20" t="s">
        <v>368</v>
      </c>
      <c r="C145" s="102"/>
      <c r="D145" s="102"/>
      <c r="E145" s="102"/>
      <c r="F145" s="102"/>
      <c r="G145" s="102"/>
      <c r="H145" s="102"/>
      <c r="I145" s="102"/>
    </row>
    <row r="146" spans="1:9" ht="12" customHeight="1">
      <c r="A146" s="48" t="s">
        <v>92</v>
      </c>
      <c r="B146" s="20" t="s">
        <v>369</v>
      </c>
      <c r="C146" s="102">
        <f>7960578</f>
        <v>7960578</v>
      </c>
      <c r="D146" s="102">
        <f>7960578+72564</f>
        <v>8033142</v>
      </c>
      <c r="E146" s="102">
        <f>8033142</f>
        <v>8033142</v>
      </c>
      <c r="F146" s="102">
        <f>8033142</f>
        <v>8033142</v>
      </c>
      <c r="G146" s="102">
        <f>8033142</f>
        <v>8033142</v>
      </c>
      <c r="H146" s="102">
        <f>8033142</f>
        <v>8033142</v>
      </c>
      <c r="I146" s="102">
        <v>16140862</v>
      </c>
    </row>
    <row r="147" spans="1:9" ht="12" customHeight="1">
      <c r="A147" s="48" t="s">
        <v>283</v>
      </c>
      <c r="B147" s="20" t="s">
        <v>462</v>
      </c>
      <c r="C147" s="102"/>
      <c r="D147" s="102"/>
      <c r="E147" s="102"/>
      <c r="F147" s="102"/>
      <c r="G147" s="102"/>
      <c r="H147" s="102"/>
      <c r="I147" s="102"/>
    </row>
    <row r="148" spans="1:9" ht="12" customHeight="1" thickBot="1">
      <c r="A148" s="94" t="s">
        <v>284</v>
      </c>
      <c r="B148" s="19" t="s">
        <v>388</v>
      </c>
      <c r="C148" s="102"/>
      <c r="D148" s="102"/>
      <c r="E148" s="102"/>
      <c r="F148" s="102"/>
      <c r="G148" s="102"/>
      <c r="H148" s="102"/>
      <c r="I148" s="102"/>
    </row>
    <row r="149" spans="1:9" ht="12" customHeight="1" thickBot="1">
      <c r="A149" s="44" t="s">
        <v>22</v>
      </c>
      <c r="B149" s="21" t="s">
        <v>463</v>
      </c>
      <c r="C149" s="105">
        <f t="shared" ref="C149:H149" si="27">SUM(C150:C154)</f>
        <v>0</v>
      </c>
      <c r="D149" s="105">
        <f t="shared" si="27"/>
        <v>0</v>
      </c>
      <c r="E149" s="105">
        <f t="shared" si="27"/>
        <v>0</v>
      </c>
      <c r="F149" s="105">
        <f t="shared" si="27"/>
        <v>0</v>
      </c>
      <c r="G149" s="105">
        <f t="shared" si="27"/>
        <v>0</v>
      </c>
      <c r="H149" s="105">
        <f t="shared" si="27"/>
        <v>0</v>
      </c>
      <c r="I149" s="105">
        <f>SUM(I150:I154)</f>
        <v>0</v>
      </c>
    </row>
    <row r="150" spans="1:9" ht="12" customHeight="1">
      <c r="A150" s="48" t="s">
        <v>93</v>
      </c>
      <c r="B150" s="20" t="s">
        <v>458</v>
      </c>
      <c r="C150" s="102"/>
      <c r="D150" s="102"/>
      <c r="E150" s="102"/>
      <c r="F150" s="102"/>
      <c r="G150" s="102"/>
      <c r="H150" s="102"/>
      <c r="I150" s="102"/>
    </row>
    <row r="151" spans="1:9" ht="12" customHeight="1">
      <c r="A151" s="48" t="s">
        <v>94</v>
      </c>
      <c r="B151" s="20" t="s">
        <v>465</v>
      </c>
      <c r="C151" s="102"/>
      <c r="D151" s="102"/>
      <c r="E151" s="102"/>
      <c r="F151" s="102"/>
      <c r="G151" s="102"/>
      <c r="H151" s="102"/>
      <c r="I151" s="102"/>
    </row>
    <row r="152" spans="1:9" ht="12" customHeight="1">
      <c r="A152" s="48" t="s">
        <v>295</v>
      </c>
      <c r="B152" s="20" t="s">
        <v>460</v>
      </c>
      <c r="C152" s="102"/>
      <c r="D152" s="102"/>
      <c r="E152" s="102"/>
      <c r="F152" s="102"/>
      <c r="G152" s="102"/>
      <c r="H152" s="102"/>
      <c r="I152" s="102"/>
    </row>
    <row r="153" spans="1:9" ht="12" customHeight="1">
      <c r="A153" s="48" t="s">
        <v>296</v>
      </c>
      <c r="B153" s="20" t="s">
        <v>466</v>
      </c>
      <c r="C153" s="102"/>
      <c r="D153" s="102"/>
      <c r="E153" s="102"/>
      <c r="F153" s="102"/>
      <c r="G153" s="102"/>
      <c r="H153" s="102"/>
      <c r="I153" s="102"/>
    </row>
    <row r="154" spans="1:9" ht="12" customHeight="1" thickBot="1">
      <c r="A154" s="48" t="s">
        <v>464</v>
      </c>
      <c r="B154" s="20" t="s">
        <v>467</v>
      </c>
      <c r="C154" s="102"/>
      <c r="D154" s="102"/>
      <c r="E154" s="102"/>
      <c r="F154" s="102"/>
      <c r="G154" s="102"/>
      <c r="H154" s="102"/>
      <c r="I154" s="102"/>
    </row>
    <row r="155" spans="1:9" ht="12" customHeight="1" thickBot="1">
      <c r="A155" s="44" t="s">
        <v>23</v>
      </c>
      <c r="B155" s="21" t="s">
        <v>468</v>
      </c>
      <c r="C155" s="106"/>
      <c r="D155" s="106"/>
      <c r="E155" s="106"/>
      <c r="F155" s="106"/>
      <c r="G155" s="106"/>
      <c r="H155" s="106"/>
      <c r="I155" s="106"/>
    </row>
    <row r="156" spans="1:9" ht="12" customHeight="1" thickBot="1">
      <c r="A156" s="44" t="s">
        <v>24</v>
      </c>
      <c r="B156" s="21" t="s">
        <v>543</v>
      </c>
      <c r="C156" s="106"/>
      <c r="D156" s="106"/>
      <c r="E156" s="106"/>
      <c r="F156" s="106"/>
      <c r="G156" s="106"/>
      <c r="H156" s="106"/>
      <c r="I156" s="106"/>
    </row>
    <row r="157" spans="1:9" ht="15" customHeight="1" thickBot="1">
      <c r="A157" s="44" t="s">
        <v>25</v>
      </c>
      <c r="B157" s="21" t="s">
        <v>471</v>
      </c>
      <c r="C157" s="107">
        <f t="shared" ref="C157:H157" si="28">+C133+C137+C144+C149+C155+C156</f>
        <v>7960578</v>
      </c>
      <c r="D157" s="107">
        <f t="shared" si="28"/>
        <v>8033142</v>
      </c>
      <c r="E157" s="107">
        <f t="shared" si="28"/>
        <v>8033142</v>
      </c>
      <c r="F157" s="107">
        <f t="shared" si="28"/>
        <v>8033142</v>
      </c>
      <c r="G157" s="107">
        <f t="shared" si="28"/>
        <v>8033142</v>
      </c>
      <c r="H157" s="107">
        <f t="shared" si="28"/>
        <v>8033142</v>
      </c>
      <c r="I157" s="107">
        <f>+I133+I137+I144+I149+I155+I156</f>
        <v>16140862</v>
      </c>
    </row>
    <row r="158" spans="1:9" s="47" customFormat="1" ht="12.95" customHeight="1" thickBot="1">
      <c r="A158" s="109" t="s">
        <v>26</v>
      </c>
      <c r="B158" s="110" t="s">
        <v>470</v>
      </c>
      <c r="C158" s="107">
        <f t="shared" ref="C158:H158" si="29">+C132+C157</f>
        <v>1233592784</v>
      </c>
      <c r="D158" s="107">
        <f t="shared" si="29"/>
        <v>1237125862</v>
      </c>
      <c r="E158" s="107">
        <f t="shared" si="29"/>
        <v>1244815748</v>
      </c>
      <c r="F158" s="107">
        <f t="shared" si="29"/>
        <v>1247315748</v>
      </c>
      <c r="G158" s="107">
        <f t="shared" si="29"/>
        <v>1287132581</v>
      </c>
      <c r="H158" s="107">
        <f t="shared" si="29"/>
        <v>1315310125</v>
      </c>
      <c r="I158" s="107">
        <f>+I132+I157</f>
        <v>1338533285</v>
      </c>
    </row>
    <row r="159" spans="1:9" ht="7.5" customHeight="1"/>
    <row r="160" spans="1:9">
      <c r="A160" s="132" t="s">
        <v>370</v>
      </c>
      <c r="B160" s="132"/>
      <c r="C160" s="36"/>
      <c r="D160" s="36"/>
      <c r="E160" s="36"/>
      <c r="F160" s="36"/>
      <c r="G160" s="36"/>
      <c r="H160" s="36"/>
      <c r="I160" s="36"/>
    </row>
    <row r="161" spans="1:9" ht="15" customHeight="1" thickBot="1">
      <c r="A161" s="734" t="s">
        <v>146</v>
      </c>
      <c r="B161" s="734"/>
      <c r="C161" s="37" t="s">
        <v>605</v>
      </c>
      <c r="D161" s="37" t="s">
        <v>605</v>
      </c>
      <c r="E161" s="37" t="s">
        <v>605</v>
      </c>
      <c r="F161" s="37" t="s">
        <v>605</v>
      </c>
      <c r="G161" s="37" t="s">
        <v>605</v>
      </c>
      <c r="H161" s="37" t="s">
        <v>605</v>
      </c>
      <c r="I161" s="37" t="s">
        <v>605</v>
      </c>
    </row>
    <row r="162" spans="1:9" ht="30.75" customHeight="1" thickBot="1">
      <c r="A162" s="44">
        <v>1</v>
      </c>
      <c r="B162" s="112" t="s">
        <v>472</v>
      </c>
      <c r="C162" s="46">
        <f t="shared" ref="C162:H162" si="30">+C66-C132</f>
        <v>-601704590</v>
      </c>
      <c r="D162" s="46">
        <f t="shared" si="30"/>
        <v>-601704590</v>
      </c>
      <c r="E162" s="46">
        <f t="shared" si="30"/>
        <v>-602300335</v>
      </c>
      <c r="F162" s="46">
        <f t="shared" si="30"/>
        <v>-602300335</v>
      </c>
      <c r="G162" s="46">
        <f t="shared" si="30"/>
        <v>-602309909</v>
      </c>
      <c r="H162" s="46">
        <f t="shared" si="30"/>
        <v>-602309909</v>
      </c>
      <c r="I162" s="46">
        <f>+I66-I132</f>
        <v>-602300335</v>
      </c>
    </row>
    <row r="163" spans="1:9" ht="34.5" customHeight="1" thickBot="1">
      <c r="A163" s="44" t="s">
        <v>17</v>
      </c>
      <c r="B163" s="112" t="s">
        <v>478</v>
      </c>
      <c r="C163" s="46">
        <f t="shared" ref="C163:H163" si="31">+C90-C157</f>
        <v>601704590</v>
      </c>
      <c r="D163" s="46">
        <f t="shared" si="31"/>
        <v>601704590</v>
      </c>
      <c r="E163" s="46">
        <f t="shared" si="31"/>
        <v>602300335</v>
      </c>
      <c r="F163" s="46">
        <f t="shared" si="31"/>
        <v>602300335</v>
      </c>
      <c r="G163" s="46">
        <f t="shared" si="31"/>
        <v>602309909</v>
      </c>
      <c r="H163" s="46">
        <f t="shared" si="31"/>
        <v>602309909</v>
      </c>
      <c r="I163" s="46">
        <f>+I90-I157</f>
        <v>602300335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68" fitToHeight="2" orientation="landscape" r:id="rId1"/>
  <headerFooter alignWithMargins="0">
    <oddHeader>&amp;R&amp;"Times New Roman CE,Félkövér dőlt"&amp;11 1.1. melléklet a 2/2019. (II.28.) önkormányzati rendelethez</oddHeader>
    <oddFooter>&amp;P. oldal, összesen: &amp;N</oddFooter>
  </headerFooter>
  <rowBreaks count="3" manualBreakCount="3">
    <brk id="49" max="8" man="1"/>
    <brk id="91" max="8" man="1"/>
    <brk id="13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T75"/>
  <sheetViews>
    <sheetView topLeftCell="F1" zoomScaleNormal="100" workbookViewId="0">
      <selection activeCell="F1" sqref="F1:R1"/>
    </sheetView>
  </sheetViews>
  <sheetFormatPr defaultRowHeight="15.75"/>
  <cols>
    <col min="1" max="1" width="72.6640625" style="242" customWidth="1"/>
    <col min="2" max="2" width="30.1640625" style="242" bestFit="1" customWidth="1"/>
    <col min="3" max="3" width="13.83203125" style="223" bestFit="1" customWidth="1"/>
    <col min="4" max="4" width="22.6640625" style="223" bestFit="1" customWidth="1"/>
    <col min="5" max="5" width="14.5" style="223" bestFit="1" customWidth="1"/>
    <col min="6" max="12" width="20.83203125" style="223" bestFit="1" customWidth="1"/>
    <col min="13" max="13" width="15.1640625" style="225" bestFit="1" customWidth="1"/>
    <col min="14" max="14" width="2.83203125" style="223" bestFit="1" customWidth="1"/>
    <col min="15" max="15" width="15.6640625" style="241" bestFit="1" customWidth="1"/>
    <col min="16" max="16" width="12.5" style="223" bestFit="1" customWidth="1"/>
    <col min="17" max="17" width="11.33203125" style="223" bestFit="1" customWidth="1"/>
    <col min="18" max="18" width="13.83203125" style="223" bestFit="1" customWidth="1"/>
    <col min="19" max="19" width="11.33203125" style="225" bestFit="1" customWidth="1"/>
    <col min="20" max="20" width="2.1640625" style="223" bestFit="1" customWidth="1"/>
    <col min="21" max="21" width="12.83203125" style="223" customWidth="1"/>
    <col min="22" max="22" width="13.83203125" style="223" customWidth="1"/>
    <col min="23" max="16384" width="9.33203125" style="223"/>
  </cols>
  <sheetData>
    <row r="1" spans="1:19" ht="19.5" customHeight="1">
      <c r="A1" s="242" t="s">
        <v>538</v>
      </c>
      <c r="F1" s="757" t="s">
        <v>789</v>
      </c>
      <c r="G1" s="757"/>
      <c r="H1" s="757"/>
      <c r="I1" s="757"/>
      <c r="J1" s="757"/>
      <c r="K1" s="757"/>
      <c r="L1" s="757"/>
      <c r="M1" s="757"/>
      <c r="N1" s="757"/>
      <c r="O1" s="757"/>
      <c r="P1" s="757"/>
      <c r="Q1" s="757"/>
      <c r="R1" s="757"/>
    </row>
    <row r="5" spans="1:19" ht="25.5" customHeight="1">
      <c r="A5" s="755" t="s">
        <v>0</v>
      </c>
      <c r="B5" s="755"/>
      <c r="C5" s="755"/>
      <c r="D5" s="755"/>
      <c r="E5" s="755"/>
      <c r="F5" s="755"/>
      <c r="G5" s="755"/>
      <c r="H5" s="755"/>
      <c r="I5" s="755"/>
      <c r="J5" s="755"/>
      <c r="K5" s="755"/>
      <c r="L5" s="755"/>
      <c r="M5" s="755"/>
      <c r="N5" s="755"/>
      <c r="O5" s="755"/>
      <c r="P5" s="755"/>
      <c r="Q5" s="755"/>
      <c r="R5" s="755"/>
      <c r="S5" s="755"/>
    </row>
    <row r="6" spans="1:19" ht="22.5" customHeight="1" thickBot="1">
      <c r="A6" s="224"/>
      <c r="B6" s="224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6" t="s">
        <v>588</v>
      </c>
      <c r="N6" s="225"/>
      <c r="O6" s="227" t="s">
        <v>588</v>
      </c>
      <c r="P6" s="225"/>
      <c r="Q6" s="225"/>
      <c r="R6" s="225"/>
      <c r="S6" s="226"/>
    </row>
    <row r="7" spans="1:19" s="222" customFormat="1" ht="44.25" customHeight="1" thickBot="1">
      <c r="A7" s="228" t="s">
        <v>61</v>
      </c>
      <c r="B7" s="229" t="s">
        <v>641</v>
      </c>
      <c r="C7" s="230" t="s">
        <v>62</v>
      </c>
      <c r="D7" s="230" t="s">
        <v>63</v>
      </c>
      <c r="E7" s="230" t="s">
        <v>698</v>
      </c>
      <c r="F7" s="230" t="s">
        <v>687</v>
      </c>
      <c r="G7" s="230" t="s">
        <v>738</v>
      </c>
      <c r="H7" s="230" t="s">
        <v>743</v>
      </c>
      <c r="I7" s="230" t="s">
        <v>758</v>
      </c>
      <c r="J7" s="230" t="s">
        <v>760</v>
      </c>
      <c r="K7" s="230" t="s">
        <v>773</v>
      </c>
      <c r="L7" s="230" t="s">
        <v>780</v>
      </c>
      <c r="M7" s="231" t="s">
        <v>699</v>
      </c>
      <c r="N7" s="232"/>
      <c r="O7" s="232" t="s">
        <v>633</v>
      </c>
      <c r="P7" s="233" t="s">
        <v>634</v>
      </c>
      <c r="Q7" s="233" t="s">
        <v>635</v>
      </c>
      <c r="R7" s="234" t="s">
        <v>632</v>
      </c>
      <c r="S7" s="231" t="s">
        <v>675</v>
      </c>
    </row>
    <row r="8" spans="1:19" s="225" customFormat="1" ht="12" customHeight="1" thickBot="1">
      <c r="A8" s="235" t="s">
        <v>485</v>
      </c>
      <c r="B8" s="236"/>
      <c r="C8" s="237" t="s">
        <v>486</v>
      </c>
      <c r="D8" s="237" t="s">
        <v>487</v>
      </c>
      <c r="E8" s="237" t="s">
        <v>489</v>
      </c>
      <c r="F8" s="237" t="s">
        <v>488</v>
      </c>
      <c r="G8" s="237" t="s">
        <v>488</v>
      </c>
      <c r="H8" s="237" t="s">
        <v>488</v>
      </c>
      <c r="I8" s="237" t="s">
        <v>488</v>
      </c>
      <c r="J8" s="237" t="s">
        <v>488</v>
      </c>
      <c r="K8" s="237" t="s">
        <v>488</v>
      </c>
      <c r="L8" s="237" t="s">
        <v>488</v>
      </c>
      <c r="M8" s="238" t="s">
        <v>491</v>
      </c>
      <c r="N8" s="239"/>
      <c r="O8" s="239"/>
      <c r="P8" s="240"/>
      <c r="Q8" s="240"/>
      <c r="R8" s="237"/>
      <c r="S8" s="238"/>
    </row>
    <row r="9" spans="1:19" ht="24.75" customHeight="1">
      <c r="A9" s="541" t="s">
        <v>684</v>
      </c>
      <c r="B9" s="542" t="s">
        <v>683</v>
      </c>
      <c r="C9" s="543">
        <f>393701*1.27</f>
        <v>500000.27</v>
      </c>
      <c r="D9" s="544" t="s">
        <v>720</v>
      </c>
      <c r="E9" s="543"/>
      <c r="F9" s="543">
        <f t="shared" ref="F9:L9" si="0">393701*1.27</f>
        <v>500000.27</v>
      </c>
      <c r="G9" s="543">
        <f t="shared" si="0"/>
        <v>500000.27</v>
      </c>
      <c r="H9" s="543">
        <f t="shared" si="0"/>
        <v>500000.27</v>
      </c>
      <c r="I9" s="543">
        <f t="shared" si="0"/>
        <v>500000.27</v>
      </c>
      <c r="J9" s="543">
        <f t="shared" si="0"/>
        <v>500000.27</v>
      </c>
      <c r="K9" s="543">
        <f t="shared" si="0"/>
        <v>500000.27</v>
      </c>
      <c r="L9" s="543">
        <f t="shared" si="0"/>
        <v>500000.27</v>
      </c>
      <c r="M9" s="545"/>
      <c r="N9" s="546"/>
      <c r="O9" s="547">
        <f>P9+Q9+R9</f>
        <v>500000.27</v>
      </c>
      <c r="P9" s="546">
        <f>393701*1.27</f>
        <v>500000.27</v>
      </c>
      <c r="Q9" s="546"/>
      <c r="R9" s="543"/>
      <c r="S9" s="548"/>
    </row>
    <row r="10" spans="1:19" ht="24.75" customHeight="1">
      <c r="A10" s="541" t="s">
        <v>617</v>
      </c>
      <c r="B10" s="542" t="s">
        <v>642</v>
      </c>
      <c r="C10" s="543">
        <f>2500000</f>
        <v>2500000</v>
      </c>
      <c r="D10" s="544" t="s">
        <v>722</v>
      </c>
      <c r="E10" s="543"/>
      <c r="F10" s="543">
        <f t="shared" ref="F10:L10" si="1">2500000</f>
        <v>2500000</v>
      </c>
      <c r="G10" s="543">
        <f t="shared" si="1"/>
        <v>2500000</v>
      </c>
      <c r="H10" s="543">
        <f t="shared" si="1"/>
        <v>2500000</v>
      </c>
      <c r="I10" s="543">
        <f t="shared" si="1"/>
        <v>2500000</v>
      </c>
      <c r="J10" s="543">
        <f t="shared" si="1"/>
        <v>2500000</v>
      </c>
      <c r="K10" s="543">
        <f t="shared" si="1"/>
        <v>2500000</v>
      </c>
      <c r="L10" s="543">
        <f t="shared" si="1"/>
        <v>2500000</v>
      </c>
      <c r="M10" s="548"/>
      <c r="N10" s="546"/>
      <c r="O10" s="547">
        <f>P10+Q10+R10</f>
        <v>2500000</v>
      </c>
      <c r="P10" s="546"/>
      <c r="Q10" s="546"/>
      <c r="R10" s="543">
        <f>2500000</f>
        <v>2500000</v>
      </c>
      <c r="S10" s="548"/>
    </row>
    <row r="11" spans="1:19" ht="24.75" customHeight="1">
      <c r="A11" s="541" t="s">
        <v>753</v>
      </c>
      <c r="B11" s="542" t="s">
        <v>643</v>
      </c>
      <c r="C11" s="543">
        <f>50000*1.27</f>
        <v>63500</v>
      </c>
      <c r="D11" s="544"/>
      <c r="E11" s="543"/>
      <c r="F11" s="543"/>
      <c r="G11" s="543"/>
      <c r="H11" s="543">
        <f>50000*1.27</f>
        <v>63500</v>
      </c>
      <c r="I11" s="543">
        <f>50000*1.27</f>
        <v>63500</v>
      </c>
      <c r="J11" s="543">
        <f>50000*1.27</f>
        <v>63500</v>
      </c>
      <c r="K11" s="543">
        <f>50000*1.27</f>
        <v>63500</v>
      </c>
      <c r="L11" s="543">
        <f>50000*1.27</f>
        <v>63500</v>
      </c>
      <c r="M11" s="545"/>
      <c r="N11" s="546"/>
      <c r="O11" s="547">
        <f>P11+Q11+R11</f>
        <v>63500</v>
      </c>
      <c r="P11" s="543">
        <f>50000*1.27</f>
        <v>63500</v>
      </c>
      <c r="Q11" s="546"/>
      <c r="R11" s="543"/>
      <c r="S11" s="545"/>
    </row>
    <row r="12" spans="1:19" s="552" customFormat="1" ht="24.75" customHeight="1">
      <c r="A12" s="549" t="s">
        <v>625</v>
      </c>
      <c r="B12" s="550"/>
      <c r="C12" s="551">
        <f>SUM(C9:C11)</f>
        <v>3063500.27</v>
      </c>
      <c r="D12" s="551"/>
      <c r="E12" s="551"/>
      <c r="F12" s="551">
        <f t="shared" ref="F12:S12" si="2">SUM(F9:F11)</f>
        <v>3000000.27</v>
      </c>
      <c r="G12" s="551">
        <f t="shared" si="2"/>
        <v>3000000.27</v>
      </c>
      <c r="H12" s="551">
        <f>SUM(H9:H11)</f>
        <v>3063500.27</v>
      </c>
      <c r="I12" s="551">
        <f>SUM(I9:I11)</f>
        <v>3063500.27</v>
      </c>
      <c r="J12" s="551">
        <f t="shared" si="2"/>
        <v>3063500.27</v>
      </c>
      <c r="K12" s="551">
        <f>SUM(K9:K11)</f>
        <v>3063500.27</v>
      </c>
      <c r="L12" s="551">
        <f>SUM(L9:L11)</f>
        <v>3063500.27</v>
      </c>
      <c r="M12" s="551"/>
      <c r="N12" s="551"/>
      <c r="O12" s="551">
        <f t="shared" si="2"/>
        <v>3063500.27</v>
      </c>
      <c r="P12" s="551">
        <f t="shared" si="2"/>
        <v>563500.27</v>
      </c>
      <c r="Q12" s="551">
        <f t="shared" si="2"/>
        <v>0</v>
      </c>
      <c r="R12" s="551">
        <f t="shared" si="2"/>
        <v>2500000</v>
      </c>
      <c r="S12" s="551">
        <f t="shared" si="2"/>
        <v>0</v>
      </c>
    </row>
    <row r="13" spans="1:19" s="552" customFormat="1" ht="24.75" customHeight="1">
      <c r="A13" s="549"/>
      <c r="B13" s="550"/>
      <c r="C13" s="551"/>
      <c r="D13" s="553"/>
      <c r="E13" s="551"/>
      <c r="F13" s="551"/>
      <c r="G13" s="551"/>
      <c r="H13" s="551"/>
      <c r="I13" s="551"/>
      <c r="J13" s="551"/>
      <c r="K13" s="551"/>
      <c r="L13" s="551"/>
      <c r="M13" s="554"/>
      <c r="N13" s="555"/>
      <c r="O13" s="555"/>
      <c r="P13" s="555"/>
      <c r="Q13" s="555"/>
      <c r="R13" s="551"/>
      <c r="S13" s="554"/>
    </row>
    <row r="14" spans="1:19" ht="31.5">
      <c r="A14" s="541" t="s">
        <v>618</v>
      </c>
      <c r="B14" s="542" t="s">
        <v>640</v>
      </c>
      <c r="C14" s="543">
        <f>(1847314*1.27)-(1101894+297511)-(745420+201264)</f>
        <v>-0.21999999973922968</v>
      </c>
      <c r="D14" s="544" t="s">
        <v>720</v>
      </c>
      <c r="E14" s="543"/>
      <c r="F14" s="543">
        <f>1847314*1.27</f>
        <v>2346088.7800000003</v>
      </c>
      <c r="G14" s="543">
        <f>1847314*1.27</f>
        <v>2346088.7800000003</v>
      </c>
      <c r="H14" s="543">
        <f>(1847314*1.27)-(1101894+297511)-(745420+201264)</f>
        <v>-0.21999999973922968</v>
      </c>
      <c r="I14" s="543">
        <f>(1847314*1.27)-(1101894+297511)-(745420+201264)</f>
        <v>-0.21999999973922968</v>
      </c>
      <c r="J14" s="543">
        <f>(1847314*1.27)-(1101894+297511)-(745420+201264)</f>
        <v>-0.21999999973922968</v>
      </c>
      <c r="K14" s="543">
        <f>(1847314*1.27)-(1101894+297511)-(745420+201264)</f>
        <v>-0.21999999973922968</v>
      </c>
      <c r="L14" s="543">
        <f>(1847314*1.27)-(1101894+297511)-(745420+201264)</f>
        <v>-0.21999999973922968</v>
      </c>
      <c r="M14" s="548"/>
      <c r="N14" s="546"/>
      <c r="O14" s="547">
        <f t="shared" ref="O14:O26" si="3">P14+Q14+R14</f>
        <v>0</v>
      </c>
      <c r="P14" s="546"/>
      <c r="Q14" s="543"/>
      <c r="R14" s="543"/>
      <c r="S14" s="548"/>
    </row>
    <row r="15" spans="1:19" ht="31.5">
      <c r="A15" s="541" t="s">
        <v>723</v>
      </c>
      <c r="B15" s="542" t="s">
        <v>724</v>
      </c>
      <c r="C15" s="543">
        <f>600000*1.27</f>
        <v>762000</v>
      </c>
      <c r="D15" s="544" t="s">
        <v>720</v>
      </c>
      <c r="E15" s="543"/>
      <c r="F15" s="543">
        <f t="shared" ref="F15:L15" si="4">600000*1.27</f>
        <v>762000</v>
      </c>
      <c r="G15" s="543">
        <f t="shared" si="4"/>
        <v>762000</v>
      </c>
      <c r="H15" s="543">
        <f t="shared" si="4"/>
        <v>762000</v>
      </c>
      <c r="I15" s="543">
        <f t="shared" si="4"/>
        <v>762000</v>
      </c>
      <c r="J15" s="543">
        <f t="shared" si="4"/>
        <v>762000</v>
      </c>
      <c r="K15" s="543">
        <f t="shared" si="4"/>
        <v>762000</v>
      </c>
      <c r="L15" s="543">
        <f t="shared" si="4"/>
        <v>762000</v>
      </c>
      <c r="M15" s="548"/>
      <c r="N15" s="546"/>
      <c r="O15" s="547">
        <f t="shared" si="3"/>
        <v>762000</v>
      </c>
      <c r="P15" s="546">
        <f>600000*1.27</f>
        <v>762000</v>
      </c>
      <c r="Q15" s="546"/>
      <c r="R15" s="543"/>
      <c r="S15" s="548"/>
    </row>
    <row r="16" spans="1:19">
      <c r="A16" s="541" t="s">
        <v>725</v>
      </c>
      <c r="B16" s="542" t="s">
        <v>644</v>
      </c>
      <c r="C16" s="543">
        <f>(400000*1.27)-(400000*1.27)</f>
        <v>0</v>
      </c>
      <c r="D16" s="544" t="s">
        <v>720</v>
      </c>
      <c r="E16" s="543"/>
      <c r="F16" s="543">
        <f>400000*1.27</f>
        <v>508000</v>
      </c>
      <c r="G16" s="543">
        <f>400000*1.27</f>
        <v>508000</v>
      </c>
      <c r="H16" s="543">
        <f>400000*1.27</f>
        <v>508000</v>
      </c>
      <c r="I16" s="543">
        <f>400000*1.27</f>
        <v>508000</v>
      </c>
      <c r="J16" s="543">
        <f>400000*1.27</f>
        <v>508000</v>
      </c>
      <c r="K16" s="543">
        <f>(400000*1.27)-(400000*1.27)</f>
        <v>0</v>
      </c>
      <c r="L16" s="543">
        <f>(400000*1.27)-(400000*1.27)</f>
        <v>0</v>
      </c>
      <c r="M16" s="548"/>
      <c r="N16" s="546"/>
      <c r="O16" s="547">
        <f t="shared" si="3"/>
        <v>0</v>
      </c>
      <c r="P16" s="543">
        <f>(400000*1.27)-(400000*1.27)</f>
        <v>0</v>
      </c>
      <c r="Q16" s="546"/>
      <c r="R16" s="543"/>
      <c r="S16" s="548"/>
    </row>
    <row r="17" spans="1:20">
      <c r="A17" s="541" t="s">
        <v>630</v>
      </c>
      <c r="B17" s="542" t="s">
        <v>644</v>
      </c>
      <c r="C17" s="543">
        <f>(640000*1.27)-(640000*1.27)</f>
        <v>0</v>
      </c>
      <c r="D17" s="544" t="s">
        <v>720</v>
      </c>
      <c r="E17" s="543"/>
      <c r="F17" s="543">
        <f>640000*1.27</f>
        <v>812800</v>
      </c>
      <c r="G17" s="543">
        <f>640000*1.27</f>
        <v>812800</v>
      </c>
      <c r="H17" s="543">
        <f>640000*1.27</f>
        <v>812800</v>
      </c>
      <c r="I17" s="543">
        <f>640000*1.27</f>
        <v>812800</v>
      </c>
      <c r="J17" s="543">
        <f>640000*1.27</f>
        <v>812800</v>
      </c>
      <c r="K17" s="543">
        <f>(640000*1.27)-(640000*1.27)</f>
        <v>0</v>
      </c>
      <c r="L17" s="543">
        <f>(640000*1.27)-(640000*1.27)</f>
        <v>0</v>
      </c>
      <c r="M17" s="548"/>
      <c r="N17" s="546"/>
      <c r="O17" s="547">
        <f t="shared" si="3"/>
        <v>0</v>
      </c>
      <c r="P17" s="543">
        <f>(640000*1.27)-(640000*1.27)</f>
        <v>0</v>
      </c>
      <c r="Q17" s="546"/>
      <c r="R17" s="543"/>
      <c r="S17" s="548"/>
    </row>
    <row r="18" spans="1:20" ht="31.5">
      <c r="A18" s="541" t="s">
        <v>726</v>
      </c>
      <c r="B18" s="542" t="s">
        <v>642</v>
      </c>
      <c r="C18" s="543">
        <f>(300180*1.27)+(500000*1.27)-(500000*1.27)</f>
        <v>381228.6</v>
      </c>
      <c r="D18" s="544" t="s">
        <v>720</v>
      </c>
      <c r="E18" s="543"/>
      <c r="F18" s="543">
        <f>(300180*1.27)+(500000*1.27)</f>
        <v>1016228.6</v>
      </c>
      <c r="G18" s="543">
        <f t="shared" ref="G18:L18" si="5">(300180*1.27)+(500000*1.27)-(500000*1.27)</f>
        <v>381228.6</v>
      </c>
      <c r="H18" s="543">
        <f t="shared" si="5"/>
        <v>381228.6</v>
      </c>
      <c r="I18" s="543">
        <f t="shared" si="5"/>
        <v>381228.6</v>
      </c>
      <c r="J18" s="543">
        <f t="shared" si="5"/>
        <v>381228.6</v>
      </c>
      <c r="K18" s="543">
        <f t="shared" si="5"/>
        <v>381228.6</v>
      </c>
      <c r="L18" s="543">
        <f t="shared" si="5"/>
        <v>381228.6</v>
      </c>
      <c r="M18" s="548"/>
      <c r="N18" s="546"/>
      <c r="O18" s="547">
        <f t="shared" si="3"/>
        <v>381228.6</v>
      </c>
      <c r="P18" s="543">
        <f>(300180*1.27)+(500000*1.27)-(500000*1.27)</f>
        <v>381228.6</v>
      </c>
      <c r="Q18" s="546"/>
      <c r="R18" s="543"/>
      <c r="S18" s="548"/>
    </row>
    <row r="19" spans="1:20" ht="31.5">
      <c r="A19" s="541" t="s">
        <v>727</v>
      </c>
      <c r="B19" s="542" t="s">
        <v>642</v>
      </c>
      <c r="C19" s="543">
        <f>80000*1.27-80000*1.27</f>
        <v>0</v>
      </c>
      <c r="D19" s="544" t="s">
        <v>720</v>
      </c>
      <c r="E19" s="543"/>
      <c r="F19" s="543">
        <f>80000*1.27</f>
        <v>101600</v>
      </c>
      <c r="G19" s="543">
        <f t="shared" ref="G19:L19" si="6">80000*1.27-80000*1.27</f>
        <v>0</v>
      </c>
      <c r="H19" s="543">
        <f t="shared" si="6"/>
        <v>0</v>
      </c>
      <c r="I19" s="543">
        <f t="shared" si="6"/>
        <v>0</v>
      </c>
      <c r="J19" s="543">
        <f t="shared" si="6"/>
        <v>0</v>
      </c>
      <c r="K19" s="543">
        <f t="shared" si="6"/>
        <v>0</v>
      </c>
      <c r="L19" s="543">
        <f t="shared" si="6"/>
        <v>0</v>
      </c>
      <c r="M19" s="548"/>
      <c r="N19" s="546"/>
      <c r="O19" s="547">
        <f t="shared" si="3"/>
        <v>0</v>
      </c>
      <c r="P19" s="543">
        <f>80000*1.27-80000*1.27</f>
        <v>0</v>
      </c>
      <c r="Q19" s="546"/>
      <c r="R19" s="543"/>
      <c r="S19" s="548"/>
    </row>
    <row r="20" spans="1:20" ht="31.5">
      <c r="A20" s="541" t="s">
        <v>728</v>
      </c>
      <c r="B20" s="542" t="s">
        <v>642</v>
      </c>
      <c r="C20" s="543">
        <f>2890000*1.27</f>
        <v>3670300</v>
      </c>
      <c r="D20" s="544" t="s">
        <v>720</v>
      </c>
      <c r="E20" s="543"/>
      <c r="F20" s="543">
        <f t="shared" ref="F20:L20" si="7">2890000*1.27</f>
        <v>3670300</v>
      </c>
      <c r="G20" s="543">
        <f t="shared" si="7"/>
        <v>3670300</v>
      </c>
      <c r="H20" s="543">
        <f t="shared" si="7"/>
        <v>3670300</v>
      </c>
      <c r="I20" s="543">
        <f t="shared" si="7"/>
        <v>3670300</v>
      </c>
      <c r="J20" s="543">
        <f t="shared" si="7"/>
        <v>3670300</v>
      </c>
      <c r="K20" s="543">
        <f t="shared" si="7"/>
        <v>3670300</v>
      </c>
      <c r="L20" s="543">
        <f t="shared" si="7"/>
        <v>3670300</v>
      </c>
      <c r="M20" s="548"/>
      <c r="N20" s="546"/>
      <c r="O20" s="547">
        <f t="shared" si="3"/>
        <v>3670300</v>
      </c>
      <c r="P20" s="543">
        <f>2890000*1.27</f>
        <v>3670300</v>
      </c>
      <c r="Q20" s="546"/>
      <c r="R20" s="546"/>
      <c r="S20" s="548"/>
    </row>
    <row r="21" spans="1:20" ht="31.5">
      <c r="A21" s="541" t="s">
        <v>663</v>
      </c>
      <c r="B21" s="542" t="s">
        <v>642</v>
      </c>
      <c r="C21" s="543">
        <f>43986063*1.27</f>
        <v>55862300.009999998</v>
      </c>
      <c r="D21" s="544" t="s">
        <v>671</v>
      </c>
      <c r="E21" s="543"/>
      <c r="F21" s="543">
        <f t="shared" ref="F21:L21" si="8">43986063*1.27</f>
        <v>55862300.009999998</v>
      </c>
      <c r="G21" s="543">
        <f t="shared" si="8"/>
        <v>55862300.009999998</v>
      </c>
      <c r="H21" s="543">
        <f t="shared" si="8"/>
        <v>55862300.009999998</v>
      </c>
      <c r="I21" s="543">
        <f t="shared" si="8"/>
        <v>55862300.009999998</v>
      </c>
      <c r="J21" s="543">
        <f t="shared" si="8"/>
        <v>55862300.009999998</v>
      </c>
      <c r="K21" s="543">
        <f t="shared" si="8"/>
        <v>55862300.009999998</v>
      </c>
      <c r="L21" s="543">
        <f t="shared" si="8"/>
        <v>55862300.009999998</v>
      </c>
      <c r="M21" s="545"/>
      <c r="N21" s="546"/>
      <c r="O21" s="547">
        <f>P21+Q21+R21</f>
        <v>55862300.009999998</v>
      </c>
      <c r="P21" s="546"/>
      <c r="Q21" s="546"/>
      <c r="R21" s="543">
        <f>43986063*1.27</f>
        <v>55862300.009999998</v>
      </c>
      <c r="S21" s="548"/>
    </row>
    <row r="22" spans="1:20" ht="47.25">
      <c r="A22" s="541" t="s">
        <v>666</v>
      </c>
      <c r="B22" s="542" t="s">
        <v>642</v>
      </c>
      <c r="C22" s="543">
        <f>124260246*1.27-3</f>
        <v>157810509.42000002</v>
      </c>
      <c r="D22" s="544" t="s">
        <v>670</v>
      </c>
      <c r="E22" s="543"/>
      <c r="F22" s="543">
        <f>124260246*1.27-4</f>
        <v>157810508.42000002</v>
      </c>
      <c r="G22" s="543">
        <f>124260246*1.27-4</f>
        <v>157810508.42000002</v>
      </c>
      <c r="H22" s="543">
        <f>124260246*1.27-3</f>
        <v>157810509.42000002</v>
      </c>
      <c r="I22" s="543">
        <f>124260246*1.27-3</f>
        <v>157810509.42000002</v>
      </c>
      <c r="J22" s="543">
        <f>124260246*1.27-3</f>
        <v>157810509.42000002</v>
      </c>
      <c r="K22" s="543">
        <f>124260246*1.27-3</f>
        <v>157810509.42000002</v>
      </c>
      <c r="L22" s="543">
        <f>124260246*1.27-3</f>
        <v>157810509.42000002</v>
      </c>
      <c r="M22" s="545"/>
      <c r="N22" s="546"/>
      <c r="O22" s="547">
        <f>P22+Q22+R22</f>
        <v>157810509.42000002</v>
      </c>
      <c r="P22" s="546">
        <f>4602231*0.27-3</f>
        <v>1242599.3700000001</v>
      </c>
      <c r="Q22" s="546"/>
      <c r="R22" s="543">
        <f>124260246*1.27-(4602231*0.27)</f>
        <v>156567910.05000001</v>
      </c>
      <c r="S22" s="548"/>
      <c r="T22" s="756" t="s">
        <v>681</v>
      </c>
    </row>
    <row r="23" spans="1:20" ht="31.5">
      <c r="A23" s="541" t="s">
        <v>680</v>
      </c>
      <c r="B23" s="542" t="s">
        <v>642</v>
      </c>
      <c r="C23" s="543">
        <f>5097769*1.27</f>
        <v>6474166.6299999999</v>
      </c>
      <c r="D23" s="544" t="s">
        <v>720</v>
      </c>
      <c r="E23" s="543"/>
      <c r="F23" s="543">
        <f t="shared" ref="F23:L23" si="9">5097769*1.27</f>
        <v>6474166.6299999999</v>
      </c>
      <c r="G23" s="543">
        <f t="shared" si="9"/>
        <v>6474166.6299999999</v>
      </c>
      <c r="H23" s="543">
        <f t="shared" si="9"/>
        <v>6474166.6299999999</v>
      </c>
      <c r="I23" s="543">
        <f t="shared" si="9"/>
        <v>6474166.6299999999</v>
      </c>
      <c r="J23" s="543">
        <f t="shared" si="9"/>
        <v>6474166.6299999999</v>
      </c>
      <c r="K23" s="543">
        <f t="shared" si="9"/>
        <v>6474166.6299999999</v>
      </c>
      <c r="L23" s="543">
        <f t="shared" si="9"/>
        <v>6474166.6299999999</v>
      </c>
      <c r="M23" s="545"/>
      <c r="N23" s="546"/>
      <c r="O23" s="547">
        <f>P23+Q23+R23</f>
        <v>6474166.6299999999</v>
      </c>
      <c r="P23" s="543"/>
      <c r="Q23" s="546"/>
      <c r="R23" s="543">
        <f>5097769*1.27</f>
        <v>6474166.6299999999</v>
      </c>
      <c r="S23" s="548"/>
      <c r="T23" s="756"/>
    </row>
    <row r="24" spans="1:20" ht="31.5">
      <c r="A24" s="541" t="s">
        <v>667</v>
      </c>
      <c r="B24" s="542" t="s">
        <v>642</v>
      </c>
      <c r="C24" s="543">
        <f>51370638*1.27-(650000*0.27)-13694572</f>
        <v>51370638.259999998</v>
      </c>
      <c r="D24" s="544" t="s">
        <v>669</v>
      </c>
      <c r="E24" s="543"/>
      <c r="F24" s="543">
        <f>51370638*1.27-(650000*0.27)</f>
        <v>65065210.259999998</v>
      </c>
      <c r="G24" s="543">
        <f>51370638*1.27-(650000*0.27)</f>
        <v>65065210.259999998</v>
      </c>
      <c r="H24" s="543">
        <f>51370638*1.27-(650000*0.27)-13694572</f>
        <v>51370638.259999998</v>
      </c>
      <c r="I24" s="543">
        <f>51370638*1.27-(650000*0.27)-13694572</f>
        <v>51370638.259999998</v>
      </c>
      <c r="J24" s="543">
        <f>51370638*1.27-(650000*0.27)-13694572</f>
        <v>51370638.259999998</v>
      </c>
      <c r="K24" s="543">
        <f>51370638*1.27-(650000*0.27)-13694572</f>
        <v>51370638.259999998</v>
      </c>
      <c r="L24" s="543">
        <f>51370638*1.27-(650000*0.27)-13694572</f>
        <v>51370638.259999998</v>
      </c>
      <c r="M24" s="545"/>
      <c r="N24" s="546"/>
      <c r="O24" s="547">
        <f>P24+Q24+R24</f>
        <v>51370638.259999998</v>
      </c>
      <c r="P24" s="546"/>
      <c r="Q24" s="546"/>
      <c r="R24" s="543">
        <f>51370638*1.27-(650000*0.27)-13694572</f>
        <v>51370638.259999998</v>
      </c>
      <c r="S24" s="548"/>
    </row>
    <row r="25" spans="1:20" ht="24.75" customHeight="1">
      <c r="A25" s="541" t="s">
        <v>730</v>
      </c>
      <c r="B25" s="542" t="s">
        <v>643</v>
      </c>
      <c r="C25" s="543">
        <f>(8000000*1.27)-(410000+110700)</f>
        <v>9639300</v>
      </c>
      <c r="D25" s="544" t="s">
        <v>720</v>
      </c>
      <c r="E25" s="543"/>
      <c r="F25" s="543">
        <f>8000000*1.27</f>
        <v>10160000</v>
      </c>
      <c r="G25" s="543">
        <f>8000000*1.27</f>
        <v>10160000</v>
      </c>
      <c r="H25" s="543">
        <f>8000000*1.27</f>
        <v>10160000</v>
      </c>
      <c r="I25" s="543">
        <f>8000000*1.27</f>
        <v>10160000</v>
      </c>
      <c r="J25" s="543">
        <f>(8000000*1.27)-(410000+110700)</f>
        <v>9639300</v>
      </c>
      <c r="K25" s="543">
        <f>(8000000*1.27)-(410000+110700)</f>
        <v>9639300</v>
      </c>
      <c r="L25" s="543">
        <f>(8000000*1.27)-(410000+110700)</f>
        <v>9639300</v>
      </c>
      <c r="M25" s="548"/>
      <c r="N25" s="546"/>
      <c r="O25" s="547">
        <f t="shared" si="3"/>
        <v>10680700</v>
      </c>
      <c r="P25" s="543">
        <f>(8000000*1.27)+(410000+110700)</f>
        <v>10680700</v>
      </c>
      <c r="Q25" s="546"/>
      <c r="R25" s="543"/>
      <c r="S25" s="548"/>
    </row>
    <row r="26" spans="1:20" ht="24.75" customHeight="1">
      <c r="A26" s="541" t="s">
        <v>731</v>
      </c>
      <c r="B26" s="542" t="s">
        <v>662</v>
      </c>
      <c r="C26" s="543">
        <f>154744*1.27</f>
        <v>196524.88</v>
      </c>
      <c r="D26" s="544" t="s">
        <v>720</v>
      </c>
      <c r="E26" s="543"/>
      <c r="F26" s="543">
        <f t="shared" ref="F26:L26" si="10">154744*1.27</f>
        <v>196524.88</v>
      </c>
      <c r="G26" s="543">
        <f t="shared" si="10"/>
        <v>196524.88</v>
      </c>
      <c r="H26" s="543">
        <f t="shared" si="10"/>
        <v>196524.88</v>
      </c>
      <c r="I26" s="543">
        <f t="shared" si="10"/>
        <v>196524.88</v>
      </c>
      <c r="J26" s="543">
        <f t="shared" si="10"/>
        <v>196524.88</v>
      </c>
      <c r="K26" s="543">
        <f t="shared" si="10"/>
        <v>196524.88</v>
      </c>
      <c r="L26" s="543">
        <f t="shared" si="10"/>
        <v>196524.88</v>
      </c>
      <c r="M26" s="545"/>
      <c r="N26" s="546"/>
      <c r="O26" s="547">
        <f t="shared" si="3"/>
        <v>196524.88</v>
      </c>
      <c r="P26" s="543"/>
      <c r="Q26" s="546"/>
      <c r="R26" s="543">
        <f>F26</f>
        <v>196524.88</v>
      </c>
      <c r="S26" s="548"/>
    </row>
    <row r="27" spans="1:20" ht="24.75" customHeight="1">
      <c r="A27" s="541" t="s">
        <v>598</v>
      </c>
      <c r="B27" s="542" t="s">
        <v>639</v>
      </c>
      <c r="C27" s="543">
        <f>1500000*1.27-(1500000*1.27)</f>
        <v>0</v>
      </c>
      <c r="D27" s="544" t="s">
        <v>720</v>
      </c>
      <c r="E27" s="543"/>
      <c r="F27" s="543">
        <f>1500000*1.27</f>
        <v>1905000</v>
      </c>
      <c r="G27" s="543">
        <f>1500000*1.27</f>
        <v>1905000</v>
      </c>
      <c r="H27" s="543">
        <f>1500000*1.27-(1500000*1.27)</f>
        <v>0</v>
      </c>
      <c r="I27" s="543">
        <f>1500000*1.27-(1500000*1.27)</f>
        <v>0</v>
      </c>
      <c r="J27" s="543">
        <f>1500000*1.27-(1500000*1.27)</f>
        <v>0</v>
      </c>
      <c r="K27" s="543">
        <f>1500000*1.27-(1500000*1.27)</f>
        <v>0</v>
      </c>
      <c r="L27" s="543">
        <f>1500000*1.27-(1500000*1.27)</f>
        <v>0</v>
      </c>
      <c r="M27" s="548"/>
      <c r="N27" s="546"/>
      <c r="O27" s="547">
        <f>P27+Q27+R27</f>
        <v>0</v>
      </c>
      <c r="P27" s="543">
        <f>1500000*1.27-(1500000*1.27)</f>
        <v>0</v>
      </c>
      <c r="Q27" s="546"/>
      <c r="R27" s="543"/>
      <c r="S27" s="548"/>
    </row>
    <row r="28" spans="1:20" ht="24.75" customHeight="1">
      <c r="A28" s="541" t="s">
        <v>733</v>
      </c>
      <c r="B28" s="542" t="s">
        <v>639</v>
      </c>
      <c r="C28" s="543">
        <f>(1156290*1.27)+(1500000+405000)+(71083+19192)</f>
        <v>3463763.3</v>
      </c>
      <c r="D28" s="544" t="s">
        <v>720</v>
      </c>
      <c r="E28" s="543"/>
      <c r="F28" s="543">
        <f>1156290*1.27</f>
        <v>1468488.3</v>
      </c>
      <c r="G28" s="543">
        <f>1156290*1.27</f>
        <v>1468488.3</v>
      </c>
      <c r="H28" s="543">
        <f>(1156290*1.27)+(1500000*1.27)+(71083+19192)</f>
        <v>3463763.3</v>
      </c>
      <c r="I28" s="543">
        <f>(1156290*1.27)+(1500000*1.27)+(71083+19192)</f>
        <v>3463763.3</v>
      </c>
      <c r="J28" s="543">
        <f>(1156290*1.27)+(1500000*1.27)+(71083+19192)</f>
        <v>3463763.3</v>
      </c>
      <c r="K28" s="543">
        <f>(1156290*1.27)+(1500000*1.27)+(71083+19192)</f>
        <v>3463763.3</v>
      </c>
      <c r="L28" s="543">
        <f>(1156290*1.27)+(1500000*1.27)+(71083+19192)</f>
        <v>3463763.3</v>
      </c>
      <c r="M28" s="548"/>
      <c r="N28" s="546"/>
      <c r="O28" s="547">
        <f>P28+Q28+R28</f>
        <v>3463763.3</v>
      </c>
      <c r="P28" s="546">
        <f>(1500000*1.27)+(71083+19192)</f>
        <v>1995275</v>
      </c>
      <c r="Q28" s="546"/>
      <c r="R28" s="543">
        <f>1156290*1.27</f>
        <v>1468488.3</v>
      </c>
      <c r="S28" s="548"/>
    </row>
    <row r="29" spans="1:20" ht="24.75" customHeight="1">
      <c r="A29" s="541" t="s">
        <v>751</v>
      </c>
      <c r="B29" s="542" t="s">
        <v>640</v>
      </c>
      <c r="C29" s="543">
        <f>7285216+1911775-1911775+(410000+110700)</f>
        <v>7805916</v>
      </c>
      <c r="D29" s="544" t="s">
        <v>720</v>
      </c>
      <c r="E29" s="543"/>
      <c r="F29" s="543"/>
      <c r="G29" s="543"/>
      <c r="H29" s="543">
        <f>7285216+1911775-1911775</f>
        <v>7285216</v>
      </c>
      <c r="I29" s="543">
        <f>7285216+1911775-1911775</f>
        <v>7285216</v>
      </c>
      <c r="J29" s="543">
        <f>7285216+1911775-1911775+(410000+110700)</f>
        <v>7805916</v>
      </c>
      <c r="K29" s="543">
        <f>7285216+1911775-1911775+(410000+110700)</f>
        <v>7805916</v>
      </c>
      <c r="L29" s="543">
        <f>7285216+1911775-1911775+(410000+110700)</f>
        <v>7805916</v>
      </c>
      <c r="M29" s="545"/>
      <c r="N29" s="546"/>
      <c r="O29" s="547">
        <f>P29+Q29+R29</f>
        <v>7805916</v>
      </c>
      <c r="P29" s="546">
        <f>9196991-7817442-286766+(410000+110700)</f>
        <v>1613483</v>
      </c>
      <c r="Q29" s="546"/>
      <c r="R29" s="543">
        <f>7817442-1625009</f>
        <v>6192433</v>
      </c>
      <c r="S29" s="548"/>
    </row>
    <row r="30" spans="1:20" ht="24.75" customHeight="1">
      <c r="A30" s="541" t="s">
        <v>752</v>
      </c>
      <c r="B30" s="542" t="s">
        <v>640</v>
      </c>
      <c r="C30" s="543">
        <f>5338196+1441313-1441313</f>
        <v>5338196</v>
      </c>
      <c r="D30" s="544" t="s">
        <v>720</v>
      </c>
      <c r="E30" s="543"/>
      <c r="F30" s="543"/>
      <c r="G30" s="543"/>
      <c r="H30" s="543">
        <f>5338196+1441313-1441313</f>
        <v>5338196</v>
      </c>
      <c r="I30" s="543">
        <f>5338196+1441313-1441313</f>
        <v>5338196</v>
      </c>
      <c r="J30" s="543">
        <f>5338196+1441313-1441313</f>
        <v>5338196</v>
      </c>
      <c r="K30" s="543">
        <f>5338196+1441313-1441313</f>
        <v>5338196</v>
      </c>
      <c r="L30" s="543">
        <f>5338196+1441313-1441313</f>
        <v>5338196</v>
      </c>
      <c r="M30" s="545"/>
      <c r="N30" s="546"/>
      <c r="O30" s="547">
        <f>P30+Q30+R30</f>
        <v>5338196</v>
      </c>
      <c r="P30" s="543">
        <f>5338196+1441313-1441313</f>
        <v>5338196</v>
      </c>
      <c r="Q30" s="546"/>
      <c r="R30" s="543"/>
      <c r="S30" s="548"/>
    </row>
    <row r="31" spans="1:20" ht="24.75" customHeight="1">
      <c r="A31" s="541" t="s">
        <v>769</v>
      </c>
      <c r="B31" s="542" t="s">
        <v>770</v>
      </c>
      <c r="C31" s="543">
        <v>267970</v>
      </c>
      <c r="D31" s="544" t="s">
        <v>771</v>
      </c>
      <c r="E31" s="543"/>
      <c r="F31" s="543"/>
      <c r="G31" s="543"/>
      <c r="H31" s="543"/>
      <c r="I31" s="543"/>
      <c r="J31" s="543"/>
      <c r="K31" s="543">
        <v>267970</v>
      </c>
      <c r="L31" s="543">
        <v>267970</v>
      </c>
      <c r="M31" s="545"/>
      <c r="N31" s="546"/>
      <c r="O31" s="547">
        <f>P31+Q31+R31</f>
        <v>267970</v>
      </c>
      <c r="P31" s="543"/>
      <c r="Q31" s="546"/>
      <c r="R31" s="543">
        <v>267970</v>
      </c>
      <c r="S31" s="548"/>
    </row>
    <row r="32" spans="1:20" s="552" customFormat="1" ht="24.75" customHeight="1">
      <c r="A32" s="549" t="s">
        <v>626</v>
      </c>
      <c r="B32" s="550"/>
      <c r="C32" s="551">
        <f>SUM(C14:C31)</f>
        <v>303042812.88</v>
      </c>
      <c r="D32" s="551"/>
      <c r="E32" s="551"/>
      <c r="F32" s="551">
        <f t="shared" ref="F32:L32" si="11">SUM(F14:F31)</f>
        <v>308159215.88</v>
      </c>
      <c r="G32" s="551">
        <f t="shared" si="11"/>
        <v>307422615.88</v>
      </c>
      <c r="H32" s="551">
        <f t="shared" si="11"/>
        <v>304095642.88</v>
      </c>
      <c r="I32" s="551">
        <f t="shared" si="11"/>
        <v>304095642.88</v>
      </c>
      <c r="J32" s="551">
        <f t="shared" si="11"/>
        <v>304095642.88</v>
      </c>
      <c r="K32" s="551">
        <f>SUM(K14:K31)</f>
        <v>303042812.88</v>
      </c>
      <c r="L32" s="551">
        <f t="shared" si="11"/>
        <v>303042812.88</v>
      </c>
      <c r="M32" s="551"/>
      <c r="N32" s="551"/>
      <c r="O32" s="551">
        <f>SUM(O14:O31)</f>
        <v>304084213.10000002</v>
      </c>
      <c r="P32" s="551">
        <f>SUM(P14:P31)</f>
        <v>25683781.969999999</v>
      </c>
      <c r="Q32" s="551">
        <f>SUM(Q14:Q31)</f>
        <v>0</v>
      </c>
      <c r="R32" s="551">
        <f>SUM(R14:R31)</f>
        <v>278400431.13</v>
      </c>
      <c r="S32" s="554"/>
    </row>
    <row r="33" spans="1:19" ht="24.75" customHeight="1">
      <c r="A33" s="541"/>
      <c r="B33" s="542"/>
      <c r="C33" s="543"/>
      <c r="D33" s="544"/>
      <c r="E33" s="543"/>
      <c r="F33" s="543"/>
      <c r="G33" s="543"/>
      <c r="H33" s="543"/>
      <c r="I33" s="543"/>
      <c r="J33" s="543"/>
      <c r="K33" s="543"/>
      <c r="L33" s="543"/>
      <c r="M33" s="548"/>
      <c r="N33" s="546"/>
      <c r="O33" s="547"/>
      <c r="P33" s="546"/>
      <c r="Q33" s="546"/>
      <c r="R33" s="543"/>
      <c r="S33" s="548"/>
    </row>
    <row r="34" spans="1:19" ht="24.75" customHeight="1">
      <c r="A34" s="541" t="s">
        <v>615</v>
      </c>
      <c r="B34" s="542" t="s">
        <v>645</v>
      </c>
      <c r="C34" s="543">
        <f>400000*1.27+(160200*1.27)</f>
        <v>711454</v>
      </c>
      <c r="D34" s="544" t="s">
        <v>720</v>
      </c>
      <c r="E34" s="543"/>
      <c r="F34" s="543">
        <f t="shared" ref="F34:K34" si="12">400000*1.27</f>
        <v>508000</v>
      </c>
      <c r="G34" s="543">
        <f t="shared" si="12"/>
        <v>508000</v>
      </c>
      <c r="H34" s="543">
        <f t="shared" si="12"/>
        <v>508000</v>
      </c>
      <c r="I34" s="543">
        <f t="shared" si="12"/>
        <v>508000</v>
      </c>
      <c r="J34" s="543">
        <f t="shared" si="12"/>
        <v>508000</v>
      </c>
      <c r="K34" s="543">
        <f t="shared" si="12"/>
        <v>508000</v>
      </c>
      <c r="L34" s="543">
        <f>400000*1.27+(160200*1.27)</f>
        <v>711454</v>
      </c>
      <c r="M34" s="548"/>
      <c r="N34" s="546"/>
      <c r="O34" s="547">
        <f>P34+Q34+R34</f>
        <v>711454</v>
      </c>
      <c r="P34" s="543">
        <f>400000*1.27+(160200*1.27)</f>
        <v>711454</v>
      </c>
      <c r="Q34" s="546"/>
      <c r="R34" s="543"/>
      <c r="S34" s="548"/>
    </row>
    <row r="35" spans="1:19" ht="24.75" customHeight="1">
      <c r="A35" s="541" t="s">
        <v>621</v>
      </c>
      <c r="B35" s="542" t="s">
        <v>646</v>
      </c>
      <c r="C35" s="543">
        <f>50000*1.27</f>
        <v>63500</v>
      </c>
      <c r="D35" s="544" t="s">
        <v>720</v>
      </c>
      <c r="E35" s="543"/>
      <c r="F35" s="543">
        <f t="shared" ref="F35:L35" si="13">50000*1.27</f>
        <v>63500</v>
      </c>
      <c r="G35" s="543">
        <f t="shared" si="13"/>
        <v>63500</v>
      </c>
      <c r="H35" s="543">
        <f t="shared" si="13"/>
        <v>63500</v>
      </c>
      <c r="I35" s="543">
        <f t="shared" si="13"/>
        <v>63500</v>
      </c>
      <c r="J35" s="543">
        <f t="shared" si="13"/>
        <v>63500</v>
      </c>
      <c r="K35" s="543">
        <f t="shared" si="13"/>
        <v>63500</v>
      </c>
      <c r="L35" s="543">
        <f t="shared" si="13"/>
        <v>63500</v>
      </c>
      <c r="M35" s="548"/>
      <c r="N35" s="546"/>
      <c r="O35" s="547">
        <f>P35+Q35+R35</f>
        <v>63500</v>
      </c>
      <c r="P35" s="543">
        <f>50000*1.27</f>
        <v>63500</v>
      </c>
      <c r="Q35" s="546"/>
      <c r="R35" s="543"/>
      <c r="S35" s="548"/>
    </row>
    <row r="36" spans="1:19" s="552" customFormat="1" ht="24.75" customHeight="1">
      <c r="A36" s="549" t="s">
        <v>627</v>
      </c>
      <c r="B36" s="550"/>
      <c r="C36" s="551">
        <f t="shared" ref="C36:J36" si="14">SUM(C34:C35)</f>
        <v>774954</v>
      </c>
      <c r="D36" s="551">
        <f t="shared" si="14"/>
        <v>0</v>
      </c>
      <c r="E36" s="551">
        <f t="shared" si="14"/>
        <v>0</v>
      </c>
      <c r="F36" s="551">
        <f t="shared" si="14"/>
        <v>571500</v>
      </c>
      <c r="G36" s="551">
        <f t="shared" si="14"/>
        <v>571500</v>
      </c>
      <c r="H36" s="551">
        <f>SUM(H34:H35)</f>
        <v>571500</v>
      </c>
      <c r="I36" s="551">
        <f>SUM(I34:I35)</f>
        <v>571500</v>
      </c>
      <c r="J36" s="551">
        <f t="shared" si="14"/>
        <v>571500</v>
      </c>
      <c r="K36" s="551">
        <f>SUM(K34:K35)</f>
        <v>571500</v>
      </c>
      <c r="L36" s="551">
        <f>SUM(L34:L35)</f>
        <v>774954</v>
      </c>
      <c r="M36" s="551"/>
      <c r="N36" s="551"/>
      <c r="O36" s="551">
        <f>SUM(O34:O35)</f>
        <v>774954</v>
      </c>
      <c r="P36" s="551">
        <f>SUM(P34:P35)</f>
        <v>774954</v>
      </c>
      <c r="Q36" s="551">
        <f>SUM(Q34:Q35)</f>
        <v>0</v>
      </c>
      <c r="R36" s="551">
        <f>SUM(R34:R35)</f>
        <v>0</v>
      </c>
      <c r="S36" s="554"/>
    </row>
    <row r="37" spans="1:19" ht="24.75" customHeight="1">
      <c r="A37" s="541"/>
      <c r="B37" s="542"/>
      <c r="C37" s="543"/>
      <c r="D37" s="544"/>
      <c r="E37" s="543"/>
      <c r="F37" s="543"/>
      <c r="G37" s="543"/>
      <c r="H37" s="543"/>
      <c r="I37" s="543"/>
      <c r="J37" s="543"/>
      <c r="K37" s="543"/>
      <c r="L37" s="543"/>
      <c r="M37" s="548"/>
      <c r="N37" s="546"/>
      <c r="O37" s="547"/>
      <c r="P37" s="546"/>
      <c r="Q37" s="546"/>
      <c r="R37" s="543"/>
      <c r="S37" s="548"/>
    </row>
    <row r="38" spans="1:19" ht="35.25" customHeight="1">
      <c r="A38" s="541" t="s">
        <v>631</v>
      </c>
      <c r="B38" s="542" t="s">
        <v>647</v>
      </c>
      <c r="C38" s="543">
        <f>(2162371*1.27)-(2162371+583840)</f>
        <v>0.16999999992549419</v>
      </c>
      <c r="D38" s="544" t="s">
        <v>720</v>
      </c>
      <c r="E38" s="543"/>
      <c r="F38" s="543">
        <f>2162371*1.27</f>
        <v>2746211.17</v>
      </c>
      <c r="G38" s="543">
        <f>2162371*1.27</f>
        <v>2746211.17</v>
      </c>
      <c r="H38" s="543">
        <f>(2162371*1.27)-(2162371+583840)</f>
        <v>0.16999999992549419</v>
      </c>
      <c r="I38" s="543">
        <f>(2162371*1.27)-(2162371+583840)</f>
        <v>0.16999999992549419</v>
      </c>
      <c r="J38" s="543">
        <f>(2162371*1.27)-(2162371+583840)</f>
        <v>0.16999999992549419</v>
      </c>
      <c r="K38" s="543">
        <f>(2162371*1.27)-(2162371+583840)</f>
        <v>0.16999999992549419</v>
      </c>
      <c r="L38" s="543">
        <f>(2162371*1.27)-(2162371+583840)</f>
        <v>0.16999999992549419</v>
      </c>
      <c r="M38" s="548"/>
      <c r="N38" s="546"/>
      <c r="O38" s="547">
        <f>P38+Q38+R38</f>
        <v>0.16999999992549419</v>
      </c>
      <c r="P38" s="546"/>
      <c r="Q38" s="546">
        <f>(2162371*1.27)-(2162371+583840)</f>
        <v>0.16999999992549419</v>
      </c>
      <c r="R38" s="543"/>
      <c r="S38" s="548"/>
    </row>
    <row r="39" spans="1:19" ht="24.75" customHeight="1">
      <c r="A39" s="541" t="s">
        <v>616</v>
      </c>
      <c r="B39" s="542" t="s">
        <v>648</v>
      </c>
      <c r="C39" s="543">
        <f>250000*1.27</f>
        <v>317500</v>
      </c>
      <c r="D39" s="544" t="s">
        <v>720</v>
      </c>
      <c r="E39" s="543"/>
      <c r="F39" s="543">
        <f t="shared" ref="F39:L39" si="15">250000*1.27</f>
        <v>317500</v>
      </c>
      <c r="G39" s="543">
        <f t="shared" si="15"/>
        <v>317500</v>
      </c>
      <c r="H39" s="543">
        <f t="shared" si="15"/>
        <v>317500</v>
      </c>
      <c r="I39" s="543">
        <f t="shared" si="15"/>
        <v>317500</v>
      </c>
      <c r="J39" s="543">
        <f t="shared" si="15"/>
        <v>317500</v>
      </c>
      <c r="K39" s="543">
        <f t="shared" si="15"/>
        <v>317500</v>
      </c>
      <c r="L39" s="543">
        <f t="shared" si="15"/>
        <v>317500</v>
      </c>
      <c r="M39" s="548"/>
      <c r="N39" s="546"/>
      <c r="O39" s="547">
        <f t="shared" ref="O39:O56" si="16">P39+Q39+R39</f>
        <v>317500</v>
      </c>
      <c r="P39" s="546">
        <f>250000*1.27</f>
        <v>317500</v>
      </c>
      <c r="Q39" s="546"/>
      <c r="R39" s="543"/>
      <c r="S39" s="548"/>
    </row>
    <row r="40" spans="1:19" ht="24.75" customHeight="1">
      <c r="A40" s="541" t="s">
        <v>614</v>
      </c>
      <c r="B40" s="542" t="s">
        <v>645</v>
      </c>
      <c r="C40" s="543">
        <f>300000*1.27-(160200*1.27)</f>
        <v>177546</v>
      </c>
      <c r="D40" s="544" t="s">
        <v>720</v>
      </c>
      <c r="E40" s="543"/>
      <c r="F40" s="543">
        <f t="shared" ref="F40:K40" si="17">300000*1.27</f>
        <v>381000</v>
      </c>
      <c r="G40" s="543">
        <f t="shared" si="17"/>
        <v>381000</v>
      </c>
      <c r="H40" s="543">
        <f t="shared" si="17"/>
        <v>381000</v>
      </c>
      <c r="I40" s="543">
        <f t="shared" si="17"/>
        <v>381000</v>
      </c>
      <c r="J40" s="543">
        <f t="shared" si="17"/>
        <v>381000</v>
      </c>
      <c r="K40" s="543">
        <f t="shared" si="17"/>
        <v>381000</v>
      </c>
      <c r="L40" s="543">
        <f>300000*1.27-(160200*1.27)</f>
        <v>177546</v>
      </c>
      <c r="M40" s="548"/>
      <c r="N40" s="546"/>
      <c r="O40" s="547">
        <f t="shared" si="16"/>
        <v>177546</v>
      </c>
      <c r="P40" s="543">
        <f>300000*1.27-(160200*1.27)</f>
        <v>177546</v>
      </c>
      <c r="Q40" s="546"/>
      <c r="R40" s="543"/>
      <c r="S40" s="548"/>
    </row>
    <row r="41" spans="1:19" ht="24.75" customHeight="1">
      <c r="A41" s="541" t="s">
        <v>619</v>
      </c>
      <c r="B41" s="542" t="s">
        <v>642</v>
      </c>
      <c r="C41" s="543">
        <f>1200000*1.27-25400</f>
        <v>1498600</v>
      </c>
      <c r="D41" s="544" t="s">
        <v>720</v>
      </c>
      <c r="E41" s="543"/>
      <c r="F41" s="543">
        <f t="shared" ref="F41:K41" si="18">1200000*1.27</f>
        <v>1524000</v>
      </c>
      <c r="G41" s="543">
        <f t="shared" si="18"/>
        <v>1524000</v>
      </c>
      <c r="H41" s="543">
        <f t="shared" si="18"/>
        <v>1524000</v>
      </c>
      <c r="I41" s="543">
        <f t="shared" si="18"/>
        <v>1524000</v>
      </c>
      <c r="J41" s="543">
        <f t="shared" si="18"/>
        <v>1524000</v>
      </c>
      <c r="K41" s="543">
        <f t="shared" si="18"/>
        <v>1524000</v>
      </c>
      <c r="L41" s="543">
        <f>1200000*1.27-25400</f>
        <v>1498600</v>
      </c>
      <c r="M41" s="543"/>
      <c r="N41" s="546"/>
      <c r="O41" s="547">
        <f t="shared" si="16"/>
        <v>1498600</v>
      </c>
      <c r="P41" s="543">
        <f>1200000*1.27-25400</f>
        <v>1498600</v>
      </c>
      <c r="Q41" s="546"/>
      <c r="R41" s="543"/>
      <c r="S41" s="548"/>
    </row>
    <row r="42" spans="1:19" ht="24.75" customHeight="1">
      <c r="A42" s="541" t="s">
        <v>729</v>
      </c>
      <c r="B42" s="542" t="s">
        <v>642</v>
      </c>
      <c r="C42" s="543">
        <f>100000*1.27</f>
        <v>127000</v>
      </c>
      <c r="D42" s="544" t="s">
        <v>720</v>
      </c>
      <c r="E42" s="543"/>
      <c r="F42" s="543">
        <f t="shared" ref="F42:L42" si="19">100000*1.27</f>
        <v>127000</v>
      </c>
      <c r="G42" s="543">
        <f t="shared" si="19"/>
        <v>127000</v>
      </c>
      <c r="H42" s="543">
        <f t="shared" si="19"/>
        <v>127000</v>
      </c>
      <c r="I42" s="543">
        <f t="shared" si="19"/>
        <v>127000</v>
      </c>
      <c r="J42" s="543">
        <f t="shared" si="19"/>
        <v>127000</v>
      </c>
      <c r="K42" s="543">
        <f t="shared" si="19"/>
        <v>127000</v>
      </c>
      <c r="L42" s="543">
        <f t="shared" si="19"/>
        <v>127000</v>
      </c>
      <c r="M42" s="543"/>
      <c r="N42" s="546"/>
      <c r="O42" s="547">
        <f t="shared" si="16"/>
        <v>127000</v>
      </c>
      <c r="P42" s="543">
        <f>100000*1.27</f>
        <v>127000</v>
      </c>
      <c r="Q42" s="546"/>
      <c r="R42" s="543"/>
      <c r="S42" s="548"/>
    </row>
    <row r="43" spans="1:19" ht="30.95" customHeight="1">
      <c r="A43" s="541" t="s">
        <v>664</v>
      </c>
      <c r="B43" s="542" t="s">
        <v>642</v>
      </c>
      <c r="C43" s="543">
        <f>2198240*1.27</f>
        <v>2791764.8</v>
      </c>
      <c r="D43" s="544" t="s">
        <v>671</v>
      </c>
      <c r="E43" s="543"/>
      <c r="F43" s="543">
        <f t="shared" ref="F43:L43" si="20">2198240*1.27</f>
        <v>2791764.8</v>
      </c>
      <c r="G43" s="543">
        <f t="shared" si="20"/>
        <v>2791764.8</v>
      </c>
      <c r="H43" s="543">
        <f t="shared" si="20"/>
        <v>2791764.8</v>
      </c>
      <c r="I43" s="543">
        <f t="shared" si="20"/>
        <v>2791764.8</v>
      </c>
      <c r="J43" s="543">
        <f t="shared" si="20"/>
        <v>2791764.8</v>
      </c>
      <c r="K43" s="543">
        <f t="shared" si="20"/>
        <v>2791764.8</v>
      </c>
      <c r="L43" s="543">
        <f t="shared" si="20"/>
        <v>2791764.8</v>
      </c>
      <c r="M43" s="543"/>
      <c r="N43" s="546"/>
      <c r="O43" s="547">
        <f>P43+Q43+R43</f>
        <v>2791764.8</v>
      </c>
      <c r="P43" s="546"/>
      <c r="Q43" s="546"/>
      <c r="R43" s="543">
        <f>2198240*1.27</f>
        <v>2791764.8</v>
      </c>
      <c r="S43" s="548"/>
    </row>
    <row r="44" spans="1:19" ht="32.450000000000003" customHeight="1">
      <c r="A44" s="541" t="s">
        <v>665</v>
      </c>
      <c r="B44" s="542" t="s">
        <v>642</v>
      </c>
      <c r="C44" s="543">
        <f>28990434*1.27</f>
        <v>36817851.18</v>
      </c>
      <c r="D44" s="544" t="s">
        <v>670</v>
      </c>
      <c r="E44" s="543"/>
      <c r="F44" s="543">
        <f t="shared" ref="F44:L44" si="21">28990434*1.27</f>
        <v>36817851.18</v>
      </c>
      <c r="G44" s="543">
        <f t="shared" si="21"/>
        <v>36817851.18</v>
      </c>
      <c r="H44" s="543">
        <f t="shared" si="21"/>
        <v>36817851.18</v>
      </c>
      <c r="I44" s="543">
        <f t="shared" si="21"/>
        <v>36817851.18</v>
      </c>
      <c r="J44" s="543">
        <f t="shared" si="21"/>
        <v>36817851.18</v>
      </c>
      <c r="K44" s="543">
        <f t="shared" si="21"/>
        <v>36817851.18</v>
      </c>
      <c r="L44" s="543">
        <f t="shared" si="21"/>
        <v>36817851.18</v>
      </c>
      <c r="M44" s="543"/>
      <c r="N44" s="546"/>
      <c r="O44" s="547">
        <f>P44+Q44+R44</f>
        <v>36817851.18</v>
      </c>
      <c r="P44" s="546"/>
      <c r="Q44" s="546"/>
      <c r="R44" s="543">
        <f>28990434*1.27</f>
        <v>36817851.18</v>
      </c>
      <c r="S44" s="548"/>
    </row>
    <row r="45" spans="1:19" ht="24.75" customHeight="1">
      <c r="A45" s="541" t="s">
        <v>668</v>
      </c>
      <c r="B45" s="542" t="s">
        <v>642</v>
      </c>
      <c r="C45" s="543">
        <f>102201+25299</f>
        <v>127500</v>
      </c>
      <c r="D45" s="544" t="s">
        <v>720</v>
      </c>
      <c r="E45" s="543"/>
      <c r="F45" s="543">
        <f t="shared" ref="F45:L45" si="22">102201+25299</f>
        <v>127500</v>
      </c>
      <c r="G45" s="543">
        <f t="shared" si="22"/>
        <v>127500</v>
      </c>
      <c r="H45" s="543">
        <f t="shared" si="22"/>
        <v>127500</v>
      </c>
      <c r="I45" s="543">
        <f t="shared" si="22"/>
        <v>127500</v>
      </c>
      <c r="J45" s="543">
        <f t="shared" si="22"/>
        <v>127500</v>
      </c>
      <c r="K45" s="543">
        <f t="shared" si="22"/>
        <v>127500</v>
      </c>
      <c r="L45" s="543">
        <f t="shared" si="22"/>
        <v>127500</v>
      </c>
      <c r="M45" s="543"/>
      <c r="N45" s="546"/>
      <c r="O45" s="547">
        <f>P45+Q45+R45</f>
        <v>127500</v>
      </c>
      <c r="P45" s="546"/>
      <c r="Q45" s="546"/>
      <c r="R45" s="543">
        <f>102201+25299</f>
        <v>127500</v>
      </c>
      <c r="S45" s="548"/>
    </row>
    <row r="46" spans="1:19" ht="24.75" customHeight="1">
      <c r="A46" s="541" t="s">
        <v>679</v>
      </c>
      <c r="B46" s="542" t="s">
        <v>642</v>
      </c>
      <c r="C46" s="543">
        <f>5170295*1.27-5170295*1.27</f>
        <v>0</v>
      </c>
      <c r="D46" s="544" t="s">
        <v>720</v>
      </c>
      <c r="E46" s="543"/>
      <c r="F46" s="543">
        <f>5170295*1.27</f>
        <v>6566274.6500000004</v>
      </c>
      <c r="G46" s="543">
        <f>5170295*1.27</f>
        <v>6566274.6500000004</v>
      </c>
      <c r="H46" s="543">
        <f>5170295*1.27-5170295*1.27</f>
        <v>0</v>
      </c>
      <c r="I46" s="543">
        <f>5170295*1.27-5170295*1.27</f>
        <v>0</v>
      </c>
      <c r="J46" s="543">
        <f>5170295*1.27-5170295*1.27</f>
        <v>0</v>
      </c>
      <c r="K46" s="543">
        <f>5170295*1.27-5170295*1.27</f>
        <v>0</v>
      </c>
      <c r="L46" s="543">
        <f>5170295*1.27-5170295*1.27</f>
        <v>0</v>
      </c>
      <c r="M46" s="543"/>
      <c r="N46" s="546"/>
      <c r="O46" s="547">
        <f>P46+Q46+R46</f>
        <v>0</v>
      </c>
      <c r="P46" s="546"/>
      <c r="Q46" s="546"/>
      <c r="R46" s="543">
        <f>5170295*1.27-5170295*1.27</f>
        <v>0</v>
      </c>
      <c r="S46" s="548"/>
    </row>
    <row r="47" spans="1:19" ht="24.75" customHeight="1">
      <c r="A47" s="541" t="s">
        <v>620</v>
      </c>
      <c r="B47" s="542" t="s">
        <v>649</v>
      </c>
      <c r="C47" s="543">
        <f>100000*1.27</f>
        <v>127000</v>
      </c>
      <c r="D47" s="544" t="s">
        <v>720</v>
      </c>
      <c r="E47" s="543"/>
      <c r="F47" s="543">
        <f t="shared" ref="F47:L47" si="23">100000*1.27</f>
        <v>127000</v>
      </c>
      <c r="G47" s="543">
        <f t="shared" si="23"/>
        <v>127000</v>
      </c>
      <c r="H47" s="543">
        <f t="shared" si="23"/>
        <v>127000</v>
      </c>
      <c r="I47" s="543">
        <f t="shared" si="23"/>
        <v>127000</v>
      </c>
      <c r="J47" s="543">
        <f t="shared" si="23"/>
        <v>127000</v>
      </c>
      <c r="K47" s="543">
        <f t="shared" si="23"/>
        <v>127000</v>
      </c>
      <c r="L47" s="543">
        <f t="shared" si="23"/>
        <v>127000</v>
      </c>
      <c r="M47" s="548"/>
      <c r="N47" s="546"/>
      <c r="O47" s="547">
        <f t="shared" si="16"/>
        <v>127000</v>
      </c>
      <c r="P47" s="543">
        <f>100000*1.27</f>
        <v>127000</v>
      </c>
      <c r="Q47" s="546"/>
      <c r="R47" s="543"/>
      <c r="S47" s="548"/>
    </row>
    <row r="48" spans="1:19" ht="24.75" customHeight="1">
      <c r="A48" s="541" t="s">
        <v>651</v>
      </c>
      <c r="B48" s="542" t="s">
        <v>646</v>
      </c>
      <c r="C48" s="543">
        <f>300000*1.27</f>
        <v>381000</v>
      </c>
      <c r="D48" s="544" t="s">
        <v>720</v>
      </c>
      <c r="E48" s="543"/>
      <c r="F48" s="543">
        <f t="shared" ref="F48:L48" si="24">300000*1.27</f>
        <v>381000</v>
      </c>
      <c r="G48" s="543">
        <f t="shared" si="24"/>
        <v>381000</v>
      </c>
      <c r="H48" s="543">
        <f t="shared" si="24"/>
        <v>381000</v>
      </c>
      <c r="I48" s="543">
        <f t="shared" si="24"/>
        <v>381000</v>
      </c>
      <c r="J48" s="543">
        <f t="shared" si="24"/>
        <v>381000</v>
      </c>
      <c r="K48" s="543">
        <f t="shared" si="24"/>
        <v>381000</v>
      </c>
      <c r="L48" s="543">
        <f t="shared" si="24"/>
        <v>381000</v>
      </c>
      <c r="M48" s="548"/>
      <c r="N48" s="546"/>
      <c r="O48" s="547">
        <f t="shared" si="16"/>
        <v>381000</v>
      </c>
      <c r="P48" s="543">
        <f>300000*1.27</f>
        <v>381000</v>
      </c>
      <c r="Q48" s="546"/>
      <c r="R48" s="543"/>
      <c r="S48" s="548"/>
    </row>
    <row r="49" spans="1:19" ht="24.75" customHeight="1">
      <c r="A49" s="541" t="s">
        <v>622</v>
      </c>
      <c r="B49" s="542" t="s">
        <v>650</v>
      </c>
      <c r="C49" s="543">
        <f>220000*1.27+25400</f>
        <v>304800</v>
      </c>
      <c r="D49" s="544" t="s">
        <v>720</v>
      </c>
      <c r="E49" s="543"/>
      <c r="F49" s="543">
        <f t="shared" ref="F49:K49" si="25">220000*1.27</f>
        <v>279400</v>
      </c>
      <c r="G49" s="543">
        <f t="shared" si="25"/>
        <v>279400</v>
      </c>
      <c r="H49" s="543">
        <f t="shared" si="25"/>
        <v>279400</v>
      </c>
      <c r="I49" s="543">
        <f t="shared" si="25"/>
        <v>279400</v>
      </c>
      <c r="J49" s="543">
        <f t="shared" si="25"/>
        <v>279400</v>
      </c>
      <c r="K49" s="543">
        <f t="shared" si="25"/>
        <v>279400</v>
      </c>
      <c r="L49" s="543">
        <f>220000*1.27+25400</f>
        <v>304800</v>
      </c>
      <c r="M49" s="548"/>
      <c r="N49" s="546"/>
      <c r="O49" s="547">
        <f t="shared" si="16"/>
        <v>304800</v>
      </c>
      <c r="P49" s="543">
        <f>220000*1.27+25400</f>
        <v>304800</v>
      </c>
      <c r="Q49" s="546"/>
      <c r="R49" s="543"/>
      <c r="S49" s="548"/>
    </row>
    <row r="50" spans="1:19" ht="24.75" customHeight="1">
      <c r="A50" s="541" t="s">
        <v>623</v>
      </c>
      <c r="B50" s="542" t="s">
        <v>643</v>
      </c>
      <c r="C50" s="543">
        <f>200000*1.27</f>
        <v>254000</v>
      </c>
      <c r="D50" s="544" t="s">
        <v>720</v>
      </c>
      <c r="E50" s="543"/>
      <c r="F50" s="543">
        <f t="shared" ref="F50:L50" si="26">200000*1.27</f>
        <v>254000</v>
      </c>
      <c r="G50" s="543">
        <f t="shared" si="26"/>
        <v>254000</v>
      </c>
      <c r="H50" s="543">
        <f t="shared" si="26"/>
        <v>254000</v>
      </c>
      <c r="I50" s="543">
        <f t="shared" si="26"/>
        <v>254000</v>
      </c>
      <c r="J50" s="543">
        <f t="shared" si="26"/>
        <v>254000</v>
      </c>
      <c r="K50" s="543">
        <f t="shared" si="26"/>
        <v>254000</v>
      </c>
      <c r="L50" s="543">
        <f t="shared" si="26"/>
        <v>254000</v>
      </c>
      <c r="M50" s="548"/>
      <c r="N50" s="546"/>
      <c r="O50" s="547">
        <f t="shared" si="16"/>
        <v>254000</v>
      </c>
      <c r="P50" s="543">
        <f>200000*1.27</f>
        <v>254000</v>
      </c>
      <c r="Q50" s="546"/>
      <c r="R50" s="543"/>
      <c r="S50" s="548"/>
    </row>
    <row r="51" spans="1:19" ht="24.75" customHeight="1">
      <c r="A51" s="541" t="s">
        <v>624</v>
      </c>
      <c r="B51" s="542" t="s">
        <v>643</v>
      </c>
      <c r="C51" s="543">
        <f>4000000*1.27-(50000*1.27)-(500000*1.27)</f>
        <v>4381500</v>
      </c>
      <c r="D51" s="544" t="s">
        <v>720</v>
      </c>
      <c r="E51" s="543"/>
      <c r="F51" s="543">
        <f>4000000*1.27</f>
        <v>5080000</v>
      </c>
      <c r="G51" s="543">
        <f>4000000*1.27</f>
        <v>5080000</v>
      </c>
      <c r="H51" s="543">
        <f>4000000*1.27-(50000*1.27)</f>
        <v>5016500</v>
      </c>
      <c r="I51" s="543">
        <f>4000000*1.27-(50000*1.27)</f>
        <v>5016500</v>
      </c>
      <c r="J51" s="543">
        <f>4000000*1.27-(50000*1.27)</f>
        <v>5016500</v>
      </c>
      <c r="K51" s="543">
        <f>4000000*1.27-(50000*1.27)-(500000*1.27)</f>
        <v>4381500</v>
      </c>
      <c r="L51" s="543">
        <f>4000000*1.27-(50000*1.27)-(500000*1.27)</f>
        <v>4381500</v>
      </c>
      <c r="M51" s="548"/>
      <c r="N51" s="546"/>
      <c r="O51" s="547">
        <f t="shared" si="16"/>
        <v>4381500</v>
      </c>
      <c r="P51" s="543">
        <f>4000000*1.27-(50000*1.27)-(500000*1.27)</f>
        <v>4381500</v>
      </c>
      <c r="Q51" s="546"/>
      <c r="R51" s="543"/>
      <c r="S51" s="548"/>
    </row>
    <row r="52" spans="1:19" ht="24.75" customHeight="1">
      <c r="A52" s="541" t="s">
        <v>732</v>
      </c>
      <c r="B52" s="542" t="s">
        <v>662</v>
      </c>
      <c r="C52" s="543">
        <f>1293*1.27</f>
        <v>1642.1100000000001</v>
      </c>
      <c r="D52" s="544" t="s">
        <v>669</v>
      </c>
      <c r="E52" s="543"/>
      <c r="F52" s="543">
        <f t="shared" ref="F52:L52" si="27">1293*1.27</f>
        <v>1642.1100000000001</v>
      </c>
      <c r="G52" s="543">
        <f t="shared" si="27"/>
        <v>1642.1100000000001</v>
      </c>
      <c r="H52" s="543">
        <f t="shared" si="27"/>
        <v>1642.1100000000001</v>
      </c>
      <c r="I52" s="543">
        <f t="shared" si="27"/>
        <v>1642.1100000000001</v>
      </c>
      <c r="J52" s="543">
        <f t="shared" si="27"/>
        <v>1642.1100000000001</v>
      </c>
      <c r="K52" s="543">
        <f t="shared" si="27"/>
        <v>1642.1100000000001</v>
      </c>
      <c r="L52" s="543">
        <f t="shared" si="27"/>
        <v>1642.1100000000001</v>
      </c>
      <c r="M52" s="545"/>
      <c r="N52" s="546"/>
      <c r="O52" s="547">
        <f t="shared" si="16"/>
        <v>1642.1100000000001</v>
      </c>
      <c r="P52" s="546"/>
      <c r="Q52" s="546"/>
      <c r="R52" s="543">
        <f>F52</f>
        <v>1642.1100000000001</v>
      </c>
      <c r="S52" s="548"/>
    </row>
    <row r="53" spans="1:19" ht="24.75" customHeight="1">
      <c r="A53" s="541" t="s">
        <v>734</v>
      </c>
      <c r="B53" s="542" t="s">
        <v>639</v>
      </c>
      <c r="C53" s="543">
        <f>490200*1.27-(71083+19192)</f>
        <v>532279</v>
      </c>
      <c r="D53" s="544" t="s">
        <v>720</v>
      </c>
      <c r="E53" s="543"/>
      <c r="F53" s="543">
        <f>490200*1.27</f>
        <v>622554</v>
      </c>
      <c r="G53" s="543">
        <f>490200*1.27</f>
        <v>622554</v>
      </c>
      <c r="H53" s="543">
        <f>490200*1.27-(71083+19192)</f>
        <v>532279</v>
      </c>
      <c r="I53" s="543">
        <f>490200*1.27-(71083+19192)</f>
        <v>532279</v>
      </c>
      <c r="J53" s="543">
        <f>490200*1.27-(71083+19192)</f>
        <v>532279</v>
      </c>
      <c r="K53" s="543">
        <f>490200*1.27-(71083+19192)</f>
        <v>532279</v>
      </c>
      <c r="L53" s="543">
        <f>490200*1.27-(71083+19192)</f>
        <v>532279</v>
      </c>
      <c r="M53" s="545"/>
      <c r="N53" s="546"/>
      <c r="O53" s="547">
        <f t="shared" si="16"/>
        <v>532279</v>
      </c>
      <c r="P53" s="543">
        <f>490200*1.27-(71083+19192)</f>
        <v>532279</v>
      </c>
      <c r="Q53" s="546"/>
      <c r="R53" s="543"/>
      <c r="S53" s="548"/>
    </row>
    <row r="54" spans="1:19" ht="24.75" customHeight="1">
      <c r="A54" s="541" t="s">
        <v>749</v>
      </c>
      <c r="B54" s="542" t="s">
        <v>643</v>
      </c>
      <c r="C54" s="543">
        <f>1000000-76200</f>
        <v>923800</v>
      </c>
      <c r="D54" s="544" t="s">
        <v>720</v>
      </c>
      <c r="E54" s="543"/>
      <c r="F54" s="543"/>
      <c r="G54" s="543"/>
      <c r="H54" s="543">
        <f>1000000-76200</f>
        <v>923800</v>
      </c>
      <c r="I54" s="543">
        <f>1000000-76200</f>
        <v>923800</v>
      </c>
      <c r="J54" s="543">
        <f>1000000-76200</f>
        <v>923800</v>
      </c>
      <c r="K54" s="543">
        <f>1000000-76200</f>
        <v>923800</v>
      </c>
      <c r="L54" s="543">
        <f>1000000-76200</f>
        <v>923800</v>
      </c>
      <c r="M54" s="545"/>
      <c r="N54" s="546"/>
      <c r="O54" s="547">
        <f t="shared" si="16"/>
        <v>923800</v>
      </c>
      <c r="P54" s="543">
        <f>1000000-76200</f>
        <v>923800</v>
      </c>
      <c r="Q54" s="546"/>
      <c r="R54" s="543"/>
      <c r="S54" s="545"/>
    </row>
    <row r="55" spans="1:19" ht="24.75" customHeight="1">
      <c r="A55" s="541" t="s">
        <v>772</v>
      </c>
      <c r="B55" s="542" t="s">
        <v>770</v>
      </c>
      <c r="C55" s="543">
        <v>265430</v>
      </c>
      <c r="D55" s="544" t="s">
        <v>771</v>
      </c>
      <c r="E55" s="543"/>
      <c r="F55" s="543"/>
      <c r="G55" s="543"/>
      <c r="H55" s="543"/>
      <c r="I55" s="543"/>
      <c r="J55" s="543"/>
      <c r="K55" s="543">
        <v>265430</v>
      </c>
      <c r="L55" s="543">
        <v>265430</v>
      </c>
      <c r="M55" s="545"/>
      <c r="N55" s="546"/>
      <c r="O55" s="547">
        <f t="shared" si="16"/>
        <v>265430</v>
      </c>
      <c r="P55" s="543">
        <v>26672</v>
      </c>
      <c r="Q55" s="546"/>
      <c r="R55" s="543">
        <f>506728-267970</f>
        <v>238758</v>
      </c>
      <c r="S55" s="545"/>
    </row>
    <row r="56" spans="1:19" ht="24.75" customHeight="1">
      <c r="A56" s="541" t="s">
        <v>777</v>
      </c>
      <c r="B56" s="542" t="s">
        <v>644</v>
      </c>
      <c r="C56" s="543">
        <f>1540000*1.27</f>
        <v>1955800</v>
      </c>
      <c r="D56" s="544" t="s">
        <v>720</v>
      </c>
      <c r="E56" s="543"/>
      <c r="F56" s="543"/>
      <c r="G56" s="543"/>
      <c r="H56" s="543"/>
      <c r="I56" s="543"/>
      <c r="J56" s="543"/>
      <c r="K56" s="543">
        <f>(1540000*1.27)</f>
        <v>1955800</v>
      </c>
      <c r="L56" s="543">
        <f>(1540000*1.27)</f>
        <v>1955800</v>
      </c>
      <c r="M56" s="545"/>
      <c r="N56" s="546"/>
      <c r="O56" s="547">
        <f t="shared" si="16"/>
        <v>1955800</v>
      </c>
      <c r="P56" s="543">
        <f>(1540000*1.27)</f>
        <v>1955800</v>
      </c>
      <c r="Q56" s="546"/>
      <c r="R56" s="543"/>
      <c r="S56" s="545"/>
    </row>
    <row r="57" spans="1:19" s="552" customFormat="1" ht="24.75" customHeight="1">
      <c r="A57" s="549" t="s">
        <v>628</v>
      </c>
      <c r="B57" s="550"/>
      <c r="C57" s="551">
        <f>SUM(C38:C56)</f>
        <v>50985013.259999998</v>
      </c>
      <c r="D57" s="551"/>
      <c r="E57" s="551"/>
      <c r="F57" s="551">
        <f t="shared" ref="F57:S57" si="28">SUM(F38:F56)</f>
        <v>58144697.909999996</v>
      </c>
      <c r="G57" s="551">
        <f t="shared" si="28"/>
        <v>58144697.909999996</v>
      </c>
      <c r="H57" s="551">
        <f t="shared" si="28"/>
        <v>49602237.259999998</v>
      </c>
      <c r="I57" s="551">
        <f t="shared" si="28"/>
        <v>49602237.259999998</v>
      </c>
      <c r="J57" s="551">
        <f t="shared" si="28"/>
        <v>49602237.259999998</v>
      </c>
      <c r="K57" s="551">
        <f>SUM(K38:K56)</f>
        <v>51188467.259999998</v>
      </c>
      <c r="L57" s="551">
        <f t="shared" si="28"/>
        <v>50985013.259999998</v>
      </c>
      <c r="M57" s="551">
        <f t="shared" si="28"/>
        <v>0</v>
      </c>
      <c r="N57" s="551"/>
      <c r="O57" s="551">
        <f t="shared" si="28"/>
        <v>50985013.259999998</v>
      </c>
      <c r="P57" s="551">
        <f t="shared" si="28"/>
        <v>11007497</v>
      </c>
      <c r="Q57" s="551">
        <f t="shared" si="28"/>
        <v>0.16999999992549419</v>
      </c>
      <c r="R57" s="551">
        <f t="shared" si="28"/>
        <v>39977516.089999996</v>
      </c>
      <c r="S57" s="551">
        <f t="shared" si="28"/>
        <v>0</v>
      </c>
    </row>
    <row r="58" spans="1:19" ht="15.95" customHeight="1">
      <c r="A58" s="541"/>
      <c r="B58" s="542"/>
      <c r="C58" s="543"/>
      <c r="D58" s="544"/>
      <c r="E58" s="543"/>
      <c r="F58" s="543"/>
      <c r="G58" s="543"/>
      <c r="H58" s="543"/>
      <c r="I58" s="543"/>
      <c r="J58" s="543"/>
      <c r="K58" s="543"/>
      <c r="L58" s="543"/>
      <c r="M58" s="548"/>
      <c r="N58" s="546"/>
      <c r="O58" s="547"/>
      <c r="P58" s="546"/>
      <c r="Q58" s="546"/>
      <c r="R58" s="543"/>
      <c r="S58" s="548"/>
    </row>
    <row r="59" spans="1:19" ht="15.95" customHeight="1">
      <c r="A59" s="541"/>
      <c r="B59" s="542"/>
      <c r="C59" s="543"/>
      <c r="D59" s="544"/>
      <c r="E59" s="543"/>
      <c r="F59" s="543"/>
      <c r="G59" s="543"/>
      <c r="H59" s="543"/>
      <c r="I59" s="543"/>
      <c r="J59" s="543"/>
      <c r="K59" s="543"/>
      <c r="L59" s="543"/>
      <c r="M59" s="548"/>
      <c r="N59" s="546"/>
      <c r="O59" s="547">
        <f>P59+Q59+R59</f>
        <v>0</v>
      </c>
      <c r="P59" s="546"/>
      <c r="Q59" s="546"/>
      <c r="R59" s="543"/>
      <c r="S59" s="548"/>
    </row>
    <row r="60" spans="1:19" s="552" customFormat="1" ht="15.95" customHeight="1">
      <c r="A60" s="549" t="s">
        <v>658</v>
      </c>
      <c r="B60" s="550"/>
      <c r="C60" s="551">
        <f>SUM(C59)</f>
        <v>0</v>
      </c>
      <c r="D60" s="551"/>
      <c r="E60" s="551">
        <f t="shared" ref="E60:M60" si="29">SUM(E59)</f>
        <v>0</v>
      </c>
      <c r="F60" s="551">
        <f t="shared" si="29"/>
        <v>0</v>
      </c>
      <c r="G60" s="551">
        <f t="shared" si="29"/>
        <v>0</v>
      </c>
      <c r="H60" s="551">
        <f t="shared" si="29"/>
        <v>0</v>
      </c>
      <c r="I60" s="551">
        <f t="shared" si="29"/>
        <v>0</v>
      </c>
      <c r="J60" s="551">
        <f t="shared" si="29"/>
        <v>0</v>
      </c>
      <c r="K60" s="551">
        <f>SUM(K59)</f>
        <v>0</v>
      </c>
      <c r="L60" s="551">
        <f t="shared" si="29"/>
        <v>0</v>
      </c>
      <c r="M60" s="551">
        <f t="shared" si="29"/>
        <v>0</v>
      </c>
      <c r="N60" s="551"/>
      <c r="O60" s="551">
        <f>SUM(O59)</f>
        <v>0</v>
      </c>
      <c r="P60" s="551">
        <f>SUM(P59)</f>
        <v>0</v>
      </c>
      <c r="Q60" s="551">
        <f>SUM(Q59)</f>
        <v>0</v>
      </c>
      <c r="R60" s="551">
        <f>SUM(R59)</f>
        <v>0</v>
      </c>
      <c r="S60" s="554"/>
    </row>
    <row r="61" spans="1:19" ht="15.95" customHeight="1">
      <c r="A61" s="541"/>
      <c r="B61" s="542"/>
      <c r="C61" s="543"/>
      <c r="D61" s="544"/>
      <c r="E61" s="543"/>
      <c r="F61" s="543"/>
      <c r="G61" s="543"/>
      <c r="H61" s="543"/>
      <c r="I61" s="543"/>
      <c r="J61" s="543"/>
      <c r="K61" s="543"/>
      <c r="L61" s="543"/>
      <c r="M61" s="548"/>
      <c r="N61" s="546"/>
      <c r="O61" s="547"/>
      <c r="P61" s="546"/>
      <c r="Q61" s="546"/>
      <c r="R61" s="543"/>
      <c r="S61" s="548"/>
    </row>
    <row r="62" spans="1:19" ht="15.95" customHeight="1">
      <c r="A62" s="541"/>
      <c r="B62" s="542"/>
      <c r="C62" s="543"/>
      <c r="D62" s="544"/>
      <c r="E62" s="543"/>
      <c r="F62" s="543"/>
      <c r="G62" s="543"/>
      <c r="H62" s="543"/>
      <c r="I62" s="543"/>
      <c r="J62" s="543"/>
      <c r="K62" s="543"/>
      <c r="L62" s="543"/>
      <c r="M62" s="548"/>
      <c r="N62" s="546"/>
      <c r="O62" s="547"/>
      <c r="P62" s="546"/>
      <c r="Q62" s="546"/>
      <c r="R62" s="543"/>
      <c r="S62" s="548"/>
    </row>
    <row r="63" spans="1:19" ht="15.95" customHeight="1">
      <c r="A63" s="541"/>
      <c r="B63" s="542"/>
      <c r="C63" s="543"/>
      <c r="D63" s="544"/>
      <c r="E63" s="543"/>
      <c r="F63" s="543"/>
      <c r="G63" s="543"/>
      <c r="H63" s="543"/>
      <c r="I63" s="543"/>
      <c r="J63" s="543"/>
      <c r="K63" s="543"/>
      <c r="L63" s="543"/>
      <c r="M63" s="548"/>
      <c r="N63" s="546"/>
      <c r="O63" s="547"/>
      <c r="P63" s="546"/>
      <c r="Q63" s="546"/>
      <c r="R63" s="543"/>
      <c r="S63" s="548"/>
    </row>
    <row r="64" spans="1:19" ht="15.95" customHeight="1">
      <c r="A64" s="541"/>
      <c r="B64" s="542"/>
      <c r="C64" s="543"/>
      <c r="D64" s="544"/>
      <c r="E64" s="543"/>
      <c r="F64" s="543"/>
      <c r="G64" s="543"/>
      <c r="H64" s="543"/>
      <c r="I64" s="543"/>
      <c r="J64" s="543"/>
      <c r="K64" s="543"/>
      <c r="L64" s="543"/>
      <c r="M64" s="548"/>
      <c r="N64" s="546"/>
      <c r="O64" s="547"/>
      <c r="P64" s="546"/>
      <c r="Q64" s="546"/>
      <c r="R64" s="543"/>
      <c r="S64" s="548"/>
    </row>
    <row r="65" spans="1:19" ht="15.95" customHeight="1" thickBot="1">
      <c r="A65" s="541"/>
      <c r="B65" s="542"/>
      <c r="C65" s="543"/>
      <c r="D65" s="544"/>
      <c r="E65" s="543"/>
      <c r="F65" s="543"/>
      <c r="G65" s="543"/>
      <c r="H65" s="543"/>
      <c r="I65" s="543"/>
      <c r="J65" s="543"/>
      <c r="K65" s="543"/>
      <c r="L65" s="543"/>
      <c r="M65" s="548"/>
      <c r="N65" s="546"/>
      <c r="O65" s="547"/>
      <c r="P65" s="546"/>
      <c r="Q65" s="546"/>
      <c r="R65" s="543"/>
      <c r="S65" s="548"/>
    </row>
    <row r="66" spans="1:19" s="241" customFormat="1" ht="18" customHeight="1" thickBot="1">
      <c r="A66" s="556" t="s">
        <v>629</v>
      </c>
      <c r="B66" s="557"/>
      <c r="C66" s="558">
        <f>C12+C32+C36+C57+C60</f>
        <v>357866280.40999997</v>
      </c>
      <c r="D66" s="558"/>
      <c r="E66" s="558">
        <f t="shared" ref="E66:S66" si="30">E12+E32+E36+E57+E60</f>
        <v>0</v>
      </c>
      <c r="F66" s="558">
        <f t="shared" si="30"/>
        <v>369875414.05999994</v>
      </c>
      <c r="G66" s="558">
        <f t="shared" si="30"/>
        <v>369138814.05999994</v>
      </c>
      <c r="H66" s="558">
        <f>H12+H32+H36+H57+H60</f>
        <v>357332880.40999997</v>
      </c>
      <c r="I66" s="558">
        <f>I12+I32+I36+I57+I60</f>
        <v>357332880.40999997</v>
      </c>
      <c r="J66" s="558">
        <f t="shared" si="30"/>
        <v>357332880.40999997</v>
      </c>
      <c r="K66" s="558">
        <f>K12+K32+K36+K57+K60</f>
        <v>357866280.40999997</v>
      </c>
      <c r="L66" s="558">
        <f>L12+L32+L36+L57+L60</f>
        <v>357866280.40999997</v>
      </c>
      <c r="M66" s="558">
        <f t="shared" si="30"/>
        <v>0</v>
      </c>
      <c r="N66" s="558">
        <f t="shared" si="30"/>
        <v>0</v>
      </c>
      <c r="O66" s="558">
        <f>O12+O32+O36+O57+O60-1</f>
        <v>358907679.63</v>
      </c>
      <c r="P66" s="558">
        <f t="shared" si="30"/>
        <v>38029733.239999995</v>
      </c>
      <c r="Q66" s="558">
        <f t="shared" si="30"/>
        <v>0.16999999992549419</v>
      </c>
      <c r="R66" s="558">
        <f t="shared" si="30"/>
        <v>320877947.21999997</v>
      </c>
      <c r="S66" s="558">
        <f t="shared" si="30"/>
        <v>0</v>
      </c>
    </row>
    <row r="71" spans="1:19" ht="110.25">
      <c r="A71" s="468" t="s">
        <v>682</v>
      </c>
    </row>
    <row r="75" spans="1:19">
      <c r="A75" s="468"/>
    </row>
  </sheetData>
  <mergeCells count="3">
    <mergeCell ref="A5:S5"/>
    <mergeCell ref="T22:T23"/>
    <mergeCell ref="F1:R1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40" orientation="landscape" horizontalDpi="300" verticalDpi="300" r:id="rId1"/>
  <headerFooter alignWithMargins="0">
    <oddFooter>&amp;P. oldal, összesen: &amp;N</oddFooter>
  </headerFooter>
  <rowBreaks count="1" manualBreakCount="1">
    <brk id="32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S27"/>
  <sheetViews>
    <sheetView view="pageLayout" topLeftCell="C1" zoomScaleNormal="100" workbookViewId="0">
      <selection activeCell="B7" sqref="B7"/>
    </sheetView>
  </sheetViews>
  <sheetFormatPr defaultRowHeight="12.75"/>
  <cols>
    <col min="1" max="1" width="60" style="729" bestFit="1" customWidth="1"/>
    <col min="2" max="2" width="19.33203125" style="729" bestFit="1" customWidth="1"/>
    <col min="3" max="3" width="14.33203125" style="719" bestFit="1" customWidth="1"/>
    <col min="4" max="5" width="13" style="719" bestFit="1" customWidth="1"/>
    <col min="6" max="12" width="12.1640625" style="719" customWidth="1"/>
    <col min="13" max="13" width="11.1640625" style="719" bestFit="1" customWidth="1"/>
    <col min="14" max="14" width="14.6640625" style="719" customWidth="1"/>
    <col min="15" max="15" width="14" style="283" bestFit="1" customWidth="1"/>
    <col min="16" max="16" width="12.1640625" style="719" bestFit="1" customWidth="1"/>
    <col min="17" max="17" width="11" style="719" bestFit="1" customWidth="1"/>
    <col min="18" max="18" width="12.1640625" style="719" bestFit="1" customWidth="1"/>
    <col min="19" max="19" width="12.83203125" style="719" customWidth="1"/>
    <col min="20" max="16384" width="9.33203125" style="719"/>
  </cols>
  <sheetData>
    <row r="1" spans="1:19" ht="24.75" customHeight="1">
      <c r="A1" s="758" t="s">
        <v>1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O1" s="719"/>
    </row>
    <row r="2" spans="1:19" ht="23.25" customHeight="1" thickBot="1">
      <c r="A2" s="264"/>
      <c r="B2" s="264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6" t="s">
        <v>588</v>
      </c>
      <c r="N2" s="265"/>
      <c r="O2" s="267" t="s">
        <v>588</v>
      </c>
      <c r="P2" s="265"/>
      <c r="Q2" s="265"/>
      <c r="R2" s="265"/>
    </row>
    <row r="3" spans="1:19" s="263" customFormat="1" ht="48.75" customHeight="1" thickBot="1">
      <c r="A3" s="268" t="s">
        <v>64</v>
      </c>
      <c r="B3" s="269" t="s">
        <v>638</v>
      </c>
      <c r="C3" s="270" t="s">
        <v>62</v>
      </c>
      <c r="D3" s="270" t="s">
        <v>63</v>
      </c>
      <c r="E3" s="270" t="s">
        <v>698</v>
      </c>
      <c r="F3" s="270" t="s">
        <v>687</v>
      </c>
      <c r="G3" s="270" t="s">
        <v>738</v>
      </c>
      <c r="H3" s="270" t="s">
        <v>743</v>
      </c>
      <c r="I3" s="270" t="s">
        <v>758</v>
      </c>
      <c r="J3" s="270" t="s">
        <v>760</v>
      </c>
      <c r="K3" s="270" t="s">
        <v>773</v>
      </c>
      <c r="L3" s="270" t="s">
        <v>780</v>
      </c>
      <c r="M3" s="271" t="s">
        <v>699</v>
      </c>
      <c r="N3" s="272"/>
      <c r="O3" s="272" t="s">
        <v>636</v>
      </c>
      <c r="P3" s="273" t="s">
        <v>634</v>
      </c>
      <c r="Q3" s="273" t="s">
        <v>635</v>
      </c>
      <c r="R3" s="274" t="s">
        <v>632</v>
      </c>
    </row>
    <row r="4" spans="1:19" s="265" customFormat="1" ht="15" customHeight="1" thickBot="1">
      <c r="A4" s="275" t="s">
        <v>485</v>
      </c>
      <c r="B4" s="276"/>
      <c r="C4" s="277" t="s">
        <v>486</v>
      </c>
      <c r="D4" s="277" t="s">
        <v>487</v>
      </c>
      <c r="E4" s="277" t="s">
        <v>489</v>
      </c>
      <c r="F4" s="277" t="s">
        <v>488</v>
      </c>
      <c r="G4" s="277" t="s">
        <v>488</v>
      </c>
      <c r="H4" s="277" t="s">
        <v>488</v>
      </c>
      <c r="I4" s="277" t="s">
        <v>488</v>
      </c>
      <c r="J4" s="277" t="s">
        <v>488</v>
      </c>
      <c r="K4" s="277" t="s">
        <v>488</v>
      </c>
      <c r="L4" s="277" t="s">
        <v>488</v>
      </c>
      <c r="M4" s="278" t="s">
        <v>490</v>
      </c>
      <c r="N4" s="279"/>
      <c r="O4" s="279"/>
      <c r="P4" s="280"/>
      <c r="Q4" s="280"/>
      <c r="R4" s="277"/>
    </row>
    <row r="5" spans="1:19" s="534" customFormat="1" ht="15.95" customHeight="1">
      <c r="A5" s="529" t="s">
        <v>677</v>
      </c>
      <c r="B5" s="530" t="s">
        <v>639</v>
      </c>
      <c r="C5" s="531">
        <v>508000</v>
      </c>
      <c r="D5" s="532" t="s">
        <v>720</v>
      </c>
      <c r="E5" s="531"/>
      <c r="F5" s="531">
        <f t="shared" ref="F5:L5" si="0">400000*1.27</f>
        <v>508000</v>
      </c>
      <c r="G5" s="531">
        <f t="shared" si="0"/>
        <v>508000</v>
      </c>
      <c r="H5" s="531">
        <f t="shared" si="0"/>
        <v>508000</v>
      </c>
      <c r="I5" s="531">
        <f t="shared" si="0"/>
        <v>508000</v>
      </c>
      <c r="J5" s="531">
        <f t="shared" si="0"/>
        <v>508000</v>
      </c>
      <c r="K5" s="531">
        <f t="shared" si="0"/>
        <v>508000</v>
      </c>
      <c r="L5" s="531">
        <f t="shared" si="0"/>
        <v>508000</v>
      </c>
      <c r="M5" s="533"/>
      <c r="N5" s="720"/>
      <c r="O5" s="531">
        <f>P5+Q5+R5</f>
        <v>508000</v>
      </c>
      <c r="P5" s="720"/>
      <c r="Q5" s="720"/>
      <c r="R5" s="531">
        <f>400000*1.27</f>
        <v>508000</v>
      </c>
      <c r="S5" s="719"/>
    </row>
    <row r="6" spans="1:19" s="534" customFormat="1" ht="15.95" customHeight="1">
      <c r="A6" s="529" t="s">
        <v>717</v>
      </c>
      <c r="B6" s="530" t="s">
        <v>640</v>
      </c>
      <c r="C6" s="531">
        <f>43455312+5717922-9032376</f>
        <v>40140858</v>
      </c>
      <c r="D6" s="532" t="s">
        <v>718</v>
      </c>
      <c r="E6" s="531"/>
      <c r="F6" s="531">
        <f>(34056781+160000)*1.27</f>
        <v>43455311.869999997</v>
      </c>
      <c r="G6" s="531">
        <f>(34056781+160000)*1.27</f>
        <v>43455311.869999997</v>
      </c>
      <c r="H6" s="531">
        <f>(34056781+160000)*1.27+5717922-9032376</f>
        <v>40140857.869999997</v>
      </c>
      <c r="I6" s="531">
        <f>(34056781+160000)*1.27+5717922-9032376</f>
        <v>40140857.869999997</v>
      </c>
      <c r="J6" s="531">
        <f>(34056781+160000)*1.27+5717922-9032376+(523229+141272)</f>
        <v>40805358.869999997</v>
      </c>
      <c r="K6" s="531">
        <f>(34056781+160000)*1.27+5717922-9032376+(523229+141272)</f>
        <v>40805358.869999997</v>
      </c>
      <c r="L6" s="531">
        <f>(34056781+160000)*1.27+5717922-9032376+(523229+141272)</f>
        <v>40805358.869999997</v>
      </c>
      <c r="M6" s="533"/>
      <c r="N6" s="720"/>
      <c r="O6" s="531">
        <f>P6+Q6+R6</f>
        <v>40805359.140000001</v>
      </c>
      <c r="P6" s="720">
        <f>(160000*1.27)+(4502301*1.27)</f>
        <v>5921122.2700000005</v>
      </c>
      <c r="Q6" s="720"/>
      <c r="R6" s="531">
        <f>34056781*1.27-9032376+(523229+141272)</f>
        <v>34884236.869999997</v>
      </c>
      <c r="S6" s="719"/>
    </row>
    <row r="7" spans="1:19" s="534" customFormat="1" ht="15.95" customHeight="1">
      <c r="A7" s="529" t="s">
        <v>609</v>
      </c>
      <c r="B7" s="530" t="s">
        <v>640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3"/>
      <c r="N7" s="720"/>
      <c r="O7" s="531">
        <f t="shared" ref="O7:O14" si="1">P7+Q7+R7</f>
        <v>0</v>
      </c>
      <c r="P7" s="720"/>
      <c r="Q7" s="720"/>
      <c r="R7" s="531"/>
      <c r="S7" s="719"/>
    </row>
    <row r="8" spans="1:19" ht="26.25" customHeight="1">
      <c r="A8" s="721" t="s">
        <v>610</v>
      </c>
      <c r="B8" s="722" t="s">
        <v>640</v>
      </c>
      <c r="C8" s="723">
        <v>21966857</v>
      </c>
      <c r="D8" s="281" t="s">
        <v>720</v>
      </c>
      <c r="E8" s="723"/>
      <c r="F8" s="723">
        <f>17296738*1.27</f>
        <v>21966857.260000002</v>
      </c>
      <c r="G8" s="723">
        <f>17296738*1.27</f>
        <v>21966857.260000002</v>
      </c>
      <c r="H8" s="723">
        <f>17296738*1.27</f>
        <v>21966857.260000002</v>
      </c>
      <c r="I8" s="723">
        <f>17296738*1.27</f>
        <v>21966857.260000002</v>
      </c>
      <c r="J8" s="723">
        <f>17296738*1.27+256531-(523229+141272)</f>
        <v>21558887.260000002</v>
      </c>
      <c r="K8" s="723">
        <f>17296738*1.27+256531-(523229+141272)</f>
        <v>21558887.260000002</v>
      </c>
      <c r="L8" s="723">
        <f>17296738*1.27+256531-(523229+141272)</f>
        <v>21558887.260000002</v>
      </c>
      <c r="M8" s="724"/>
      <c r="N8" s="535"/>
      <c r="O8" s="531">
        <f t="shared" si="1"/>
        <v>21558887.260000002</v>
      </c>
      <c r="P8" s="720">
        <v>256531</v>
      </c>
      <c r="Q8" s="535"/>
      <c r="R8" s="723">
        <f>17296738*1.27-(523229+141272)</f>
        <v>21302356.260000002</v>
      </c>
      <c r="S8" s="536"/>
    </row>
    <row r="9" spans="1:19" ht="15.95" customHeight="1">
      <c r="A9" s="721" t="s">
        <v>611</v>
      </c>
      <c r="B9" s="722" t="s">
        <v>640</v>
      </c>
      <c r="C9" s="723"/>
      <c r="D9" s="281" t="s">
        <v>720</v>
      </c>
      <c r="E9" s="723"/>
      <c r="F9" s="723"/>
      <c r="G9" s="723"/>
      <c r="H9" s="723"/>
      <c r="I9" s="723"/>
      <c r="J9" s="723"/>
      <c r="K9" s="723"/>
      <c r="L9" s="723"/>
      <c r="M9" s="724"/>
      <c r="N9" s="535"/>
      <c r="O9" s="531">
        <f t="shared" si="1"/>
        <v>0</v>
      </c>
      <c r="P9" s="535"/>
      <c r="Q9" s="535"/>
      <c r="R9" s="723"/>
      <c r="S9" s="536"/>
    </row>
    <row r="10" spans="1:19" ht="15.95" customHeight="1">
      <c r="A10" s="721" t="s">
        <v>612</v>
      </c>
      <c r="B10" s="722" t="s">
        <v>640</v>
      </c>
      <c r="C10" s="723">
        <v>6166114</v>
      </c>
      <c r="D10" s="281" t="s">
        <v>720</v>
      </c>
      <c r="E10" s="723"/>
      <c r="F10" s="723">
        <f t="shared" ref="F10:L10" si="2">4855208*1.27</f>
        <v>6166114.1600000001</v>
      </c>
      <c r="G10" s="723">
        <f t="shared" si="2"/>
        <v>6166114.1600000001</v>
      </c>
      <c r="H10" s="723">
        <f t="shared" si="2"/>
        <v>6166114.1600000001</v>
      </c>
      <c r="I10" s="723">
        <f t="shared" si="2"/>
        <v>6166114.1600000001</v>
      </c>
      <c r="J10" s="723">
        <f t="shared" si="2"/>
        <v>6166114.1600000001</v>
      </c>
      <c r="K10" s="723">
        <f t="shared" si="2"/>
        <v>6166114.1600000001</v>
      </c>
      <c r="L10" s="723">
        <f t="shared" si="2"/>
        <v>6166114.1600000001</v>
      </c>
      <c r="M10" s="724"/>
      <c r="N10" s="720"/>
      <c r="O10" s="531">
        <f t="shared" si="1"/>
        <v>6166114.1600000001</v>
      </c>
      <c r="P10" s="720"/>
      <c r="Q10" s="720"/>
      <c r="R10" s="723">
        <f>4855208*1.27</f>
        <v>6166114.1600000001</v>
      </c>
    </row>
    <row r="11" spans="1:19" ht="20.25" customHeight="1">
      <c r="A11" s="721" t="s">
        <v>613</v>
      </c>
      <c r="B11" s="722" t="s">
        <v>640</v>
      </c>
      <c r="C11" s="723">
        <v>7296814</v>
      </c>
      <c r="D11" s="281" t="s">
        <v>720</v>
      </c>
      <c r="E11" s="723"/>
      <c r="F11" s="723">
        <f t="shared" ref="F11:L11" si="3">5745523*1.27</f>
        <v>7296814.21</v>
      </c>
      <c r="G11" s="723">
        <f t="shared" si="3"/>
        <v>7296814.21</v>
      </c>
      <c r="H11" s="723">
        <f t="shared" si="3"/>
        <v>7296814.21</v>
      </c>
      <c r="I11" s="723">
        <f t="shared" si="3"/>
        <v>7296814.21</v>
      </c>
      <c r="J11" s="723">
        <f t="shared" si="3"/>
        <v>7296814.21</v>
      </c>
      <c r="K11" s="723">
        <f t="shared" si="3"/>
        <v>7296814.21</v>
      </c>
      <c r="L11" s="723">
        <f t="shared" si="3"/>
        <v>7296814.21</v>
      </c>
      <c r="M11" s="724"/>
      <c r="N11" s="720"/>
      <c r="O11" s="531">
        <f t="shared" si="1"/>
        <v>7296814.21</v>
      </c>
      <c r="P11" s="720"/>
      <c r="Q11" s="720"/>
      <c r="R11" s="723">
        <f>5745523*1.27</f>
        <v>7296814.21</v>
      </c>
    </row>
    <row r="12" spans="1:19" s="534" customFormat="1" ht="15.95" customHeight="1">
      <c r="A12" s="529" t="s">
        <v>678</v>
      </c>
      <c r="B12" s="530" t="s">
        <v>657</v>
      </c>
      <c r="C12" s="531">
        <f>(57114272+13737230)+(1600000+432000)+(21811024+5888976)-21143000+1773890+230000</f>
        <v>81444392</v>
      </c>
      <c r="D12" s="532" t="s">
        <v>720</v>
      </c>
      <c r="E12" s="531"/>
      <c r="F12" s="531">
        <f>44971868*1.27</f>
        <v>57114272.359999999</v>
      </c>
      <c r="G12" s="531">
        <f>44971868*1.27</f>
        <v>57114272.359999999</v>
      </c>
      <c r="H12" s="531">
        <f>44971868*1.27+13737230</f>
        <v>70851502.359999999</v>
      </c>
      <c r="I12" s="531">
        <f>44971868*1.27+13737230</f>
        <v>70851502.359999999</v>
      </c>
      <c r="J12" s="531">
        <f>(44971868*1.27)+13737230+(1600000+432000)</f>
        <v>72883502.359999999</v>
      </c>
      <c r="K12" s="531">
        <f>(44971868*1.27)+13737230+(1600000+432000)+(21811024+5888976)-21143000+1773890</f>
        <v>81214392.359999999</v>
      </c>
      <c r="L12" s="531">
        <f>(44971868*1.27)+13737230+(1600000+432000)+(21811024+5888976)-21143000+1773890+230000</f>
        <v>81444392.359999999</v>
      </c>
      <c r="M12" s="533"/>
      <c r="N12" s="537"/>
      <c r="O12" s="531">
        <f t="shared" si="1"/>
        <v>81444392</v>
      </c>
      <c r="P12" s="537">
        <f>22491247+2032000+27700000-11037370+1773890+230000</f>
        <v>43189767</v>
      </c>
      <c r="Q12" s="537"/>
      <c r="R12" s="531">
        <f>48360255-10105630</f>
        <v>38254625</v>
      </c>
    </row>
    <row r="13" spans="1:19" s="534" customFormat="1" ht="15.95" customHeight="1">
      <c r="A13" s="529" t="s">
        <v>721</v>
      </c>
      <c r="B13" s="530" t="s">
        <v>662</v>
      </c>
      <c r="C13" s="531">
        <v>93175</v>
      </c>
      <c r="D13" s="532" t="s">
        <v>720</v>
      </c>
      <c r="E13" s="531"/>
      <c r="F13" s="531">
        <f t="shared" ref="F13:L13" si="4">73366*1.27</f>
        <v>93174.82</v>
      </c>
      <c r="G13" s="531">
        <f t="shared" si="4"/>
        <v>93174.82</v>
      </c>
      <c r="H13" s="531">
        <f t="shared" si="4"/>
        <v>93174.82</v>
      </c>
      <c r="I13" s="531">
        <f t="shared" si="4"/>
        <v>93174.82</v>
      </c>
      <c r="J13" s="531">
        <f t="shared" si="4"/>
        <v>93174.82</v>
      </c>
      <c r="K13" s="531">
        <f t="shared" si="4"/>
        <v>93174.82</v>
      </c>
      <c r="L13" s="531">
        <f t="shared" si="4"/>
        <v>93174.82</v>
      </c>
      <c r="M13" s="533"/>
      <c r="N13" s="537"/>
      <c r="O13" s="531">
        <f t="shared" si="1"/>
        <v>93174.82</v>
      </c>
      <c r="P13" s="537"/>
      <c r="Q13" s="537"/>
      <c r="R13" s="531">
        <f>73366*1.27</f>
        <v>93174.82</v>
      </c>
    </row>
    <row r="14" spans="1:19" s="534" customFormat="1" ht="15.95" customHeight="1">
      <c r="A14" s="529" t="s">
        <v>719</v>
      </c>
      <c r="B14" s="530" t="s">
        <v>643</v>
      </c>
      <c r="C14" s="531">
        <f>6350000-76200-2032000-1913890</f>
        <v>2327910</v>
      </c>
      <c r="D14" s="532" t="s">
        <v>720</v>
      </c>
      <c r="E14" s="531"/>
      <c r="F14" s="531">
        <f>5000000*1.27</f>
        <v>6350000</v>
      </c>
      <c r="G14" s="531">
        <f>5000000*1.27</f>
        <v>6350000</v>
      </c>
      <c r="H14" s="531">
        <f>5000000*1.27</f>
        <v>6350000</v>
      </c>
      <c r="I14" s="531">
        <f>5000000*1.27</f>
        <v>6350000</v>
      </c>
      <c r="J14" s="531">
        <f>(5000000*1.27)-256531-(1600000+432000)</f>
        <v>4061469</v>
      </c>
      <c r="K14" s="531">
        <f>(5000000*1.27)-256531-(1600000+432000)-1913890</f>
        <v>2147579</v>
      </c>
      <c r="L14" s="531">
        <f>(5000000*1.27)-256531-(1600000+432000)-1913890</f>
        <v>2147579</v>
      </c>
      <c r="M14" s="533"/>
      <c r="N14" s="537"/>
      <c r="O14" s="531">
        <f t="shared" si="1"/>
        <v>2147579</v>
      </c>
      <c r="P14" s="537">
        <f>(5000000*1.27)-256531-(1600000+432000)-1913890</f>
        <v>2147579</v>
      </c>
      <c r="Q14" s="537"/>
      <c r="R14" s="531"/>
    </row>
    <row r="15" spans="1:19" s="534" customFormat="1" ht="15.95" customHeight="1">
      <c r="A15" s="529" t="s">
        <v>750</v>
      </c>
      <c r="B15" s="530" t="s">
        <v>643</v>
      </c>
      <c r="C15" s="531">
        <v>76200</v>
      </c>
      <c r="D15" s="532" t="s">
        <v>720</v>
      </c>
      <c r="E15" s="531"/>
      <c r="F15" s="531"/>
      <c r="G15" s="531"/>
      <c r="H15" s="531">
        <f>60000*1.27</f>
        <v>76200</v>
      </c>
      <c r="I15" s="531">
        <f>60000*1.27</f>
        <v>76200</v>
      </c>
      <c r="J15" s="531">
        <f>60000*1.27</f>
        <v>76200</v>
      </c>
      <c r="K15" s="531">
        <f>60000*1.27</f>
        <v>76200</v>
      </c>
      <c r="L15" s="531">
        <f>60000*1.27</f>
        <v>76200</v>
      </c>
      <c r="M15" s="533"/>
      <c r="N15" s="537"/>
      <c r="O15" s="531">
        <f>P15+Q15+R15</f>
        <v>76200</v>
      </c>
      <c r="P15" s="537">
        <f>60000*1.27</f>
        <v>76200</v>
      </c>
      <c r="Q15" s="537"/>
      <c r="R15" s="531"/>
    </row>
    <row r="16" spans="1:19" s="534" customFormat="1" ht="15.95" customHeight="1">
      <c r="A16" s="529" t="s">
        <v>754</v>
      </c>
      <c r="B16" s="530" t="s">
        <v>640</v>
      </c>
      <c r="C16" s="531">
        <f>470136+126937</f>
        <v>597073</v>
      </c>
      <c r="D16" s="532" t="s">
        <v>720</v>
      </c>
      <c r="E16" s="531"/>
      <c r="F16" s="531"/>
      <c r="G16" s="531"/>
      <c r="H16" s="531">
        <f>470136+126937</f>
        <v>597073</v>
      </c>
      <c r="I16" s="531">
        <f>470136+126937</f>
        <v>597073</v>
      </c>
      <c r="J16" s="531">
        <f>470136+126937</f>
        <v>597073</v>
      </c>
      <c r="K16" s="531">
        <f>470136+126937</f>
        <v>597073</v>
      </c>
      <c r="L16" s="531">
        <f>470136+126937</f>
        <v>597073</v>
      </c>
      <c r="M16" s="533"/>
      <c r="N16" s="537"/>
      <c r="O16" s="531">
        <f>P16+Q16+R16</f>
        <v>597073</v>
      </c>
      <c r="P16" s="531">
        <f>470136+126937</f>
        <v>597073</v>
      </c>
      <c r="Q16" s="537"/>
      <c r="R16" s="531"/>
    </row>
    <row r="17" spans="1:19" ht="15.95" customHeight="1">
      <c r="A17" s="721"/>
      <c r="B17" s="722"/>
      <c r="C17" s="723"/>
      <c r="D17" s="281"/>
      <c r="E17" s="723"/>
      <c r="F17" s="723"/>
      <c r="G17" s="723"/>
      <c r="H17" s="723"/>
      <c r="I17" s="723"/>
      <c r="J17" s="723"/>
      <c r="K17" s="723"/>
      <c r="L17" s="723"/>
      <c r="M17" s="724"/>
      <c r="N17" s="720"/>
      <c r="O17" s="723"/>
      <c r="P17" s="720"/>
      <c r="Q17" s="720"/>
      <c r="R17" s="723"/>
    </row>
    <row r="18" spans="1:19" ht="15.95" customHeight="1">
      <c r="A18" s="721"/>
      <c r="B18" s="722"/>
      <c r="C18" s="723"/>
      <c r="D18" s="281"/>
      <c r="E18" s="723"/>
      <c r="F18" s="723"/>
      <c r="G18" s="723"/>
      <c r="H18" s="723"/>
      <c r="I18" s="723"/>
      <c r="J18" s="723"/>
      <c r="K18" s="723"/>
      <c r="L18" s="723"/>
      <c r="M18" s="724"/>
      <c r="N18" s="720"/>
      <c r="O18" s="723"/>
      <c r="P18" s="720"/>
      <c r="Q18" s="720"/>
      <c r="R18" s="723"/>
    </row>
    <row r="19" spans="1:19" ht="15.95" customHeight="1">
      <c r="A19" s="721"/>
      <c r="B19" s="722"/>
      <c r="C19" s="723"/>
      <c r="D19" s="281"/>
      <c r="E19" s="723"/>
      <c r="F19" s="723"/>
      <c r="G19" s="723"/>
      <c r="H19" s="723"/>
      <c r="I19" s="723"/>
      <c r="J19" s="723"/>
      <c r="K19" s="723"/>
      <c r="L19" s="723"/>
      <c r="M19" s="724"/>
      <c r="N19" s="720"/>
      <c r="O19" s="723"/>
      <c r="P19" s="720"/>
      <c r="Q19" s="720"/>
      <c r="R19" s="723"/>
    </row>
    <row r="20" spans="1:19" ht="15.95" customHeight="1">
      <c r="A20" s="721"/>
      <c r="B20" s="722"/>
      <c r="C20" s="723"/>
      <c r="D20" s="281"/>
      <c r="E20" s="723"/>
      <c r="F20" s="723"/>
      <c r="G20" s="723"/>
      <c r="H20" s="723"/>
      <c r="I20" s="723"/>
      <c r="J20" s="723"/>
      <c r="K20" s="723"/>
      <c r="L20" s="723"/>
      <c r="M20" s="724"/>
      <c r="N20" s="720"/>
      <c r="O20" s="723"/>
      <c r="P20" s="720"/>
      <c r="Q20" s="720"/>
      <c r="R20" s="723"/>
    </row>
    <row r="21" spans="1:19" ht="15.95" customHeight="1">
      <c r="A21" s="721"/>
      <c r="B21" s="722"/>
      <c r="C21" s="723"/>
      <c r="D21" s="281"/>
      <c r="E21" s="723"/>
      <c r="F21" s="723"/>
      <c r="G21" s="723"/>
      <c r="H21" s="723"/>
      <c r="I21" s="723"/>
      <c r="J21" s="723"/>
      <c r="K21" s="723"/>
      <c r="L21" s="723"/>
      <c r="M21" s="724"/>
      <c r="N21" s="720"/>
      <c r="O21" s="723"/>
      <c r="P21" s="720"/>
      <c r="Q21" s="720"/>
      <c r="R21" s="723"/>
    </row>
    <row r="22" spans="1:19" ht="15.95" customHeight="1">
      <c r="A22" s="721"/>
      <c r="B22" s="722"/>
      <c r="C22" s="723"/>
      <c r="D22" s="281"/>
      <c r="E22" s="723"/>
      <c r="F22" s="723"/>
      <c r="G22" s="723"/>
      <c r="H22" s="723"/>
      <c r="I22" s="723"/>
      <c r="J22" s="723"/>
      <c r="K22" s="723"/>
      <c r="L22" s="723"/>
      <c r="M22" s="724"/>
      <c r="N22" s="720"/>
      <c r="O22" s="723"/>
      <c r="P22" s="720"/>
      <c r="Q22" s="720"/>
      <c r="R22" s="723"/>
    </row>
    <row r="23" spans="1:19" ht="15.95" customHeight="1">
      <c r="A23" s="721"/>
      <c r="B23" s="722"/>
      <c r="C23" s="723"/>
      <c r="D23" s="281"/>
      <c r="E23" s="723"/>
      <c r="F23" s="723"/>
      <c r="G23" s="723"/>
      <c r="H23" s="723"/>
      <c r="I23" s="723"/>
      <c r="J23" s="723"/>
      <c r="K23" s="723"/>
      <c r="L23" s="723"/>
      <c r="M23" s="724"/>
      <c r="N23" s="720"/>
      <c r="O23" s="723"/>
      <c r="P23" s="720"/>
      <c r="Q23" s="720"/>
      <c r="R23" s="723"/>
    </row>
    <row r="24" spans="1:19" ht="15.95" customHeight="1">
      <c r="A24" s="721"/>
      <c r="B24" s="722"/>
      <c r="C24" s="723"/>
      <c r="D24" s="281"/>
      <c r="E24" s="723"/>
      <c r="F24" s="723"/>
      <c r="G24" s="723"/>
      <c r="H24" s="723"/>
      <c r="I24" s="723"/>
      <c r="J24" s="723"/>
      <c r="K24" s="723"/>
      <c r="L24" s="723"/>
      <c r="M24" s="724"/>
      <c r="N24" s="720"/>
      <c r="O24" s="723"/>
      <c r="P24" s="720"/>
      <c r="Q24" s="720"/>
      <c r="R24" s="723"/>
    </row>
    <row r="25" spans="1:19" ht="15.95" customHeight="1">
      <c r="A25" s="721"/>
      <c r="B25" s="722"/>
      <c r="C25" s="723"/>
      <c r="D25" s="281"/>
      <c r="E25" s="723"/>
      <c r="F25" s="723"/>
      <c r="G25" s="723"/>
      <c r="H25" s="723"/>
      <c r="I25" s="723"/>
      <c r="J25" s="723"/>
      <c r="K25" s="723"/>
      <c r="L25" s="723"/>
      <c r="M25" s="724"/>
      <c r="N25" s="720"/>
      <c r="O25" s="723"/>
      <c r="P25" s="720"/>
      <c r="Q25" s="720"/>
      <c r="R25" s="723"/>
    </row>
    <row r="26" spans="1:19" ht="15.95" customHeight="1" thickBot="1">
      <c r="A26" s="725"/>
      <c r="B26" s="726"/>
      <c r="C26" s="727"/>
      <c r="D26" s="282"/>
      <c r="E26" s="727"/>
      <c r="F26" s="727"/>
      <c r="G26" s="727"/>
      <c r="H26" s="727"/>
      <c r="I26" s="727"/>
      <c r="J26" s="727"/>
      <c r="K26" s="727"/>
      <c r="L26" s="727"/>
      <c r="M26" s="728"/>
      <c r="N26" s="535"/>
      <c r="O26" s="727"/>
      <c r="P26" s="535"/>
      <c r="Q26" s="535"/>
      <c r="R26" s="727"/>
      <c r="S26" s="536"/>
    </row>
    <row r="27" spans="1:19" s="283" customFormat="1" ht="18" customHeight="1" thickBot="1">
      <c r="A27" s="538" t="s">
        <v>60</v>
      </c>
      <c r="B27" s="539"/>
      <c r="C27" s="540">
        <f>C5+C8+C9+C10+C11+C14+C6+C12+C15+C13+C16</f>
        <v>160617393</v>
      </c>
      <c r="D27" s="540"/>
      <c r="E27" s="540">
        <f t="shared" ref="E27:R27" si="5">E5+E8+E9+E10+E11+E14+E6+E12+E15+E13+E16</f>
        <v>0</v>
      </c>
      <c r="F27" s="540">
        <f t="shared" si="5"/>
        <v>142950544.68000001</v>
      </c>
      <c r="G27" s="540">
        <f t="shared" si="5"/>
        <v>142950544.68000001</v>
      </c>
      <c r="H27" s="540">
        <f t="shared" si="5"/>
        <v>154046593.68000001</v>
      </c>
      <c r="I27" s="540">
        <f>I5+I8+I9+I10+I11+I14+I6+I12+I15+I13+I16</f>
        <v>154046593.68000001</v>
      </c>
      <c r="J27" s="540">
        <f>J5+J8+J9+J10+J11+J14+J6+J12+J15+J13+J16</f>
        <v>154046593.68000001</v>
      </c>
      <c r="K27" s="540">
        <f>K5+K8+K9+K10+K11+K14+K6+K12+K15+K13+K16</f>
        <v>160463593.68000001</v>
      </c>
      <c r="L27" s="540">
        <f>L5+L8+L9+L10+L11+L14+L6+L12+L15+L13+L16</f>
        <v>160693593.68000001</v>
      </c>
      <c r="M27" s="540">
        <f t="shared" si="5"/>
        <v>0</v>
      </c>
      <c r="N27" s="540">
        <f t="shared" si="5"/>
        <v>0</v>
      </c>
      <c r="O27" s="540">
        <f t="shared" si="5"/>
        <v>160693593.59</v>
      </c>
      <c r="P27" s="540">
        <f t="shared" si="5"/>
        <v>52188272.270000003</v>
      </c>
      <c r="Q27" s="540">
        <f t="shared" si="5"/>
        <v>0</v>
      </c>
      <c r="R27" s="540">
        <f t="shared" si="5"/>
        <v>108505321.31999999</v>
      </c>
      <c r="S27" s="719"/>
    </row>
  </sheetData>
  <mergeCells count="1">
    <mergeCell ref="A1:M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51" orientation="landscape" horizontalDpi="300" verticalDpi="300" r:id="rId1"/>
  <headerFooter alignWithMargins="0">
    <oddHeader xml:space="preserve">&amp;LVonyarcvashegy Nagyközség Önkormányzata&amp;R&amp;"Times New Roman CE,Félkövér dőlt"&amp;12 &amp;11 7. melléklet a 2/2019. (II.28.) önkormányzati rendelethez&amp;"Times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1:H52"/>
  <sheetViews>
    <sheetView view="pageLayout" zoomScaleNormal="100" workbookViewId="0">
      <selection activeCell="B7" sqref="B7"/>
    </sheetView>
  </sheetViews>
  <sheetFormatPr defaultRowHeight="12.75"/>
  <cols>
    <col min="1" max="1" width="36.83203125" style="626" bestFit="1" customWidth="1"/>
    <col min="2" max="3" width="5.6640625" style="626" bestFit="1" customWidth="1"/>
    <col min="4" max="4" width="10.1640625" style="626" bestFit="1" customWidth="1"/>
    <col min="5" max="5" width="9.5" style="626" bestFit="1" customWidth="1"/>
    <col min="6" max="16384" width="9.33203125" style="626"/>
  </cols>
  <sheetData>
    <row r="1" spans="1:5">
      <c r="A1" s="625"/>
      <c r="B1" s="625"/>
      <c r="C1" s="625"/>
      <c r="D1" s="625"/>
      <c r="E1" s="625"/>
    </row>
    <row r="2" spans="1:5">
      <c r="A2" s="477" t="s">
        <v>131</v>
      </c>
      <c r="B2" s="779"/>
      <c r="C2" s="779"/>
      <c r="D2" s="779"/>
      <c r="E2" s="779"/>
    </row>
    <row r="3" spans="1:5" ht="14.25" thickBot="1">
      <c r="A3" s="625"/>
      <c r="B3" s="625"/>
      <c r="C3" s="625"/>
      <c r="D3" s="780" t="s">
        <v>588</v>
      </c>
      <c r="E3" s="780"/>
    </row>
    <row r="4" spans="1:5" ht="15" customHeight="1" thickBot="1">
      <c r="A4" s="478" t="s">
        <v>124</v>
      </c>
      <c r="B4" s="479" t="s">
        <v>597</v>
      </c>
      <c r="C4" s="479" t="s">
        <v>606</v>
      </c>
      <c r="D4" s="479" t="s">
        <v>700</v>
      </c>
      <c r="E4" s="480" t="s">
        <v>48</v>
      </c>
    </row>
    <row r="5" spans="1:5">
      <c r="A5" s="627" t="s">
        <v>125</v>
      </c>
      <c r="B5" s="628"/>
      <c r="C5" s="628"/>
      <c r="D5" s="628"/>
      <c r="E5" s="629">
        <f t="shared" ref="E5:E11" si="0">SUM(B5:D5)</f>
        <v>0</v>
      </c>
    </row>
    <row r="6" spans="1:5">
      <c r="A6" s="481" t="s">
        <v>138</v>
      </c>
      <c r="B6" s="482"/>
      <c r="C6" s="482"/>
      <c r="D6" s="482"/>
      <c r="E6" s="483">
        <f t="shared" si="0"/>
        <v>0</v>
      </c>
    </row>
    <row r="7" spans="1:5">
      <c r="A7" s="630" t="s">
        <v>126</v>
      </c>
      <c r="B7" s="631"/>
      <c r="C7" s="631"/>
      <c r="D7" s="631"/>
      <c r="E7" s="632">
        <f t="shared" si="0"/>
        <v>0</v>
      </c>
    </row>
    <row r="8" spans="1:5">
      <c r="A8" s="630" t="s">
        <v>140</v>
      </c>
      <c r="B8" s="631"/>
      <c r="C8" s="631"/>
      <c r="D8" s="631"/>
      <c r="E8" s="632">
        <f t="shared" si="0"/>
        <v>0</v>
      </c>
    </row>
    <row r="9" spans="1:5">
      <c r="A9" s="630" t="s">
        <v>127</v>
      </c>
      <c r="B9" s="631"/>
      <c r="C9" s="631"/>
      <c r="D9" s="631"/>
      <c r="E9" s="632">
        <f t="shared" si="0"/>
        <v>0</v>
      </c>
    </row>
    <row r="10" spans="1:5">
      <c r="A10" s="630" t="s">
        <v>128</v>
      </c>
      <c r="B10" s="631"/>
      <c r="C10" s="631"/>
      <c r="D10" s="631"/>
      <c r="E10" s="632">
        <f t="shared" si="0"/>
        <v>0</v>
      </c>
    </row>
    <row r="11" spans="1:5" ht="13.5" thickBot="1">
      <c r="A11" s="633"/>
      <c r="B11" s="634"/>
      <c r="C11" s="634"/>
      <c r="D11" s="634"/>
      <c r="E11" s="632">
        <f t="shared" si="0"/>
        <v>0</v>
      </c>
    </row>
    <row r="12" spans="1:5" ht="13.5" thickBot="1">
      <c r="A12" s="484" t="s">
        <v>130</v>
      </c>
      <c r="B12" s="635">
        <f>B5+SUM(B7:B11)</f>
        <v>0</v>
      </c>
      <c r="C12" s="635">
        <f>C5+SUM(C7:C11)</f>
        <v>0</v>
      </c>
      <c r="D12" s="635">
        <f>D5+SUM(D7:D11)</f>
        <v>0</v>
      </c>
      <c r="E12" s="636">
        <f>E5+SUM(E7:E11)</f>
        <v>0</v>
      </c>
    </row>
    <row r="13" spans="1:5" ht="13.5" thickBot="1">
      <c r="A13" s="637"/>
      <c r="B13" s="637"/>
      <c r="C13" s="637"/>
      <c r="D13" s="637"/>
      <c r="E13" s="637"/>
    </row>
    <row r="14" spans="1:5" ht="15" customHeight="1" thickBot="1">
      <c r="A14" s="478" t="s">
        <v>129</v>
      </c>
      <c r="B14" s="479" t="str">
        <f>+B4</f>
        <v>2018.</v>
      </c>
      <c r="C14" s="479" t="str">
        <f>+C4</f>
        <v>2019.</v>
      </c>
      <c r="D14" s="479" t="str">
        <f>+D4</f>
        <v>2019. után</v>
      </c>
      <c r="E14" s="480" t="s">
        <v>48</v>
      </c>
    </row>
    <row r="15" spans="1:5">
      <c r="A15" s="627" t="s">
        <v>134</v>
      </c>
      <c r="B15" s="628"/>
      <c r="C15" s="628"/>
      <c r="D15" s="628"/>
      <c r="E15" s="629">
        <f t="shared" ref="E15:E21" si="1">SUM(B15:D15)</f>
        <v>0</v>
      </c>
    </row>
    <row r="16" spans="1:5">
      <c r="A16" s="638" t="s">
        <v>135</v>
      </c>
      <c r="B16" s="631"/>
      <c r="C16" s="631"/>
      <c r="D16" s="631"/>
      <c r="E16" s="632">
        <f t="shared" si="1"/>
        <v>0</v>
      </c>
    </row>
    <row r="17" spans="1:5">
      <c r="A17" s="630" t="s">
        <v>136</v>
      </c>
      <c r="B17" s="631"/>
      <c r="C17" s="631"/>
      <c r="D17" s="631"/>
      <c r="E17" s="632">
        <f t="shared" si="1"/>
        <v>0</v>
      </c>
    </row>
    <row r="18" spans="1:5">
      <c r="A18" s="630" t="s">
        <v>137</v>
      </c>
      <c r="B18" s="631"/>
      <c r="C18" s="631"/>
      <c r="D18" s="631"/>
      <c r="E18" s="632">
        <f t="shared" si="1"/>
        <v>0</v>
      </c>
    </row>
    <row r="19" spans="1:5">
      <c r="A19" s="639"/>
      <c r="B19" s="631"/>
      <c r="C19" s="631"/>
      <c r="D19" s="631"/>
      <c r="E19" s="632">
        <f t="shared" si="1"/>
        <v>0</v>
      </c>
    </row>
    <row r="20" spans="1:5">
      <c r="A20" s="639"/>
      <c r="B20" s="631"/>
      <c r="C20" s="631"/>
      <c r="D20" s="631"/>
      <c r="E20" s="632">
        <f t="shared" si="1"/>
        <v>0</v>
      </c>
    </row>
    <row r="21" spans="1:5" ht="13.5" thickBot="1">
      <c r="A21" s="633"/>
      <c r="B21" s="634"/>
      <c r="C21" s="634"/>
      <c r="D21" s="634"/>
      <c r="E21" s="632">
        <f t="shared" si="1"/>
        <v>0</v>
      </c>
    </row>
    <row r="22" spans="1:5" ht="13.5" thickBot="1">
      <c r="A22" s="484" t="s">
        <v>50</v>
      </c>
      <c r="B22" s="635">
        <f>SUM(B15:B21)</f>
        <v>0</v>
      </c>
      <c r="C22" s="635">
        <f>SUM(C15:C21)</f>
        <v>0</v>
      </c>
      <c r="D22" s="635">
        <f>SUM(D15:D21)</f>
        <v>0</v>
      </c>
      <c r="E22" s="636">
        <f>SUM(E15:E21)</f>
        <v>0</v>
      </c>
    </row>
    <row r="23" spans="1:5">
      <c r="A23" s="625"/>
      <c r="B23" s="625"/>
      <c r="C23" s="625"/>
      <c r="D23" s="625"/>
      <c r="E23" s="625"/>
    </row>
    <row r="24" spans="1:5">
      <c r="A24" s="625"/>
      <c r="B24" s="625"/>
      <c r="C24" s="625"/>
      <c r="D24" s="625"/>
      <c r="E24" s="625"/>
    </row>
    <row r="25" spans="1:5">
      <c r="A25" s="477" t="s">
        <v>131</v>
      </c>
      <c r="B25" s="779"/>
      <c r="C25" s="779"/>
      <c r="D25" s="779"/>
      <c r="E25" s="779"/>
    </row>
    <row r="26" spans="1:5" ht="14.25" thickBot="1">
      <c r="A26" s="625"/>
      <c r="B26" s="625"/>
      <c r="C26" s="625"/>
      <c r="D26" s="780" t="s">
        <v>588</v>
      </c>
      <c r="E26" s="780"/>
    </row>
    <row r="27" spans="1:5" ht="13.5" thickBot="1">
      <c r="A27" s="478" t="s">
        <v>124</v>
      </c>
      <c r="B27" s="479" t="str">
        <f>+B14</f>
        <v>2018.</v>
      </c>
      <c r="C27" s="479" t="str">
        <f>+C14</f>
        <v>2019.</v>
      </c>
      <c r="D27" s="479" t="str">
        <f>+D14</f>
        <v>2019. után</v>
      </c>
      <c r="E27" s="480" t="s">
        <v>48</v>
      </c>
    </row>
    <row r="28" spans="1:5">
      <c r="A28" s="627" t="s">
        <v>125</v>
      </c>
      <c r="B28" s="628"/>
      <c r="C28" s="628"/>
      <c r="D28" s="628"/>
      <c r="E28" s="629">
        <f t="shared" ref="E28:E34" si="2">SUM(B28:D28)</f>
        <v>0</v>
      </c>
    </row>
    <row r="29" spans="1:5">
      <c r="A29" s="481" t="s">
        <v>138</v>
      </c>
      <c r="B29" s="482"/>
      <c r="C29" s="482"/>
      <c r="D29" s="482"/>
      <c r="E29" s="483">
        <f t="shared" si="2"/>
        <v>0</v>
      </c>
    </row>
    <row r="30" spans="1:5">
      <c r="A30" s="630" t="s">
        <v>126</v>
      </c>
      <c r="B30" s="631"/>
      <c r="C30" s="631"/>
      <c r="D30" s="631"/>
      <c r="E30" s="632">
        <f t="shared" si="2"/>
        <v>0</v>
      </c>
    </row>
    <row r="31" spans="1:5">
      <c r="A31" s="630" t="s">
        <v>140</v>
      </c>
      <c r="B31" s="631"/>
      <c r="C31" s="631"/>
      <c r="D31" s="631"/>
      <c r="E31" s="632">
        <f t="shared" si="2"/>
        <v>0</v>
      </c>
    </row>
    <row r="32" spans="1:5">
      <c r="A32" s="630" t="s">
        <v>127</v>
      </c>
      <c r="B32" s="631"/>
      <c r="C32" s="631"/>
      <c r="D32" s="631"/>
      <c r="E32" s="632">
        <f t="shared" si="2"/>
        <v>0</v>
      </c>
    </row>
    <row r="33" spans="1:5">
      <c r="A33" s="630" t="s">
        <v>128</v>
      </c>
      <c r="B33" s="631"/>
      <c r="C33" s="631"/>
      <c r="D33" s="631"/>
      <c r="E33" s="632">
        <f t="shared" si="2"/>
        <v>0</v>
      </c>
    </row>
    <row r="34" spans="1:5" ht="13.5" thickBot="1">
      <c r="A34" s="633"/>
      <c r="B34" s="634"/>
      <c r="C34" s="634"/>
      <c r="D34" s="634"/>
      <c r="E34" s="632">
        <f t="shared" si="2"/>
        <v>0</v>
      </c>
    </row>
    <row r="35" spans="1:5" ht="13.5" thickBot="1">
      <c r="A35" s="484" t="s">
        <v>130</v>
      </c>
      <c r="B35" s="635">
        <f>B28+SUM(B30:B34)</f>
        <v>0</v>
      </c>
      <c r="C35" s="635">
        <f>C28+SUM(C30:C34)</f>
        <v>0</v>
      </c>
      <c r="D35" s="635">
        <f>D28+SUM(D30:D34)</f>
        <v>0</v>
      </c>
      <c r="E35" s="636">
        <f>E28+SUM(E30:E34)</f>
        <v>0</v>
      </c>
    </row>
    <row r="36" spans="1:5" ht="13.5" thickBot="1">
      <c r="A36" s="637"/>
      <c r="B36" s="637"/>
      <c r="C36" s="637"/>
      <c r="D36" s="637"/>
      <c r="E36" s="637"/>
    </row>
    <row r="37" spans="1:5" ht="13.5" thickBot="1">
      <c r="A37" s="478" t="s">
        <v>129</v>
      </c>
      <c r="B37" s="479" t="str">
        <f>+B27</f>
        <v>2018.</v>
      </c>
      <c r="C37" s="479" t="str">
        <f>+C27</f>
        <v>2019.</v>
      </c>
      <c r="D37" s="479" t="str">
        <f>+D27</f>
        <v>2019. után</v>
      </c>
      <c r="E37" s="480" t="s">
        <v>48</v>
      </c>
    </row>
    <row r="38" spans="1:5">
      <c r="A38" s="627" t="s">
        <v>134</v>
      </c>
      <c r="B38" s="628"/>
      <c r="C38" s="628"/>
      <c r="D38" s="628"/>
      <c r="E38" s="629">
        <f t="shared" ref="E38:E44" si="3">SUM(B38:D38)</f>
        <v>0</v>
      </c>
    </row>
    <row r="39" spans="1:5">
      <c r="A39" s="638" t="s">
        <v>135</v>
      </c>
      <c r="B39" s="631"/>
      <c r="C39" s="631"/>
      <c r="D39" s="631"/>
      <c r="E39" s="632">
        <f t="shared" si="3"/>
        <v>0</v>
      </c>
    </row>
    <row r="40" spans="1:5">
      <c r="A40" s="630" t="s">
        <v>136</v>
      </c>
      <c r="B40" s="631"/>
      <c r="C40" s="631"/>
      <c r="D40" s="631"/>
      <c r="E40" s="632">
        <f t="shared" si="3"/>
        <v>0</v>
      </c>
    </row>
    <row r="41" spans="1:5">
      <c r="A41" s="630" t="s">
        <v>137</v>
      </c>
      <c r="B41" s="631"/>
      <c r="C41" s="631"/>
      <c r="D41" s="631"/>
      <c r="E41" s="632">
        <f t="shared" si="3"/>
        <v>0</v>
      </c>
    </row>
    <row r="42" spans="1:5">
      <c r="A42" s="639"/>
      <c r="B42" s="631"/>
      <c r="C42" s="631"/>
      <c r="D42" s="631"/>
      <c r="E42" s="632">
        <f t="shared" si="3"/>
        <v>0</v>
      </c>
    </row>
    <row r="43" spans="1:5">
      <c r="A43" s="639"/>
      <c r="B43" s="631"/>
      <c r="C43" s="631"/>
      <c r="D43" s="631"/>
      <c r="E43" s="632">
        <f t="shared" si="3"/>
        <v>0</v>
      </c>
    </row>
    <row r="44" spans="1:5" ht="13.5" thickBot="1">
      <c r="A44" s="633"/>
      <c r="B44" s="634"/>
      <c r="C44" s="634"/>
      <c r="D44" s="634"/>
      <c r="E44" s="632">
        <f t="shared" si="3"/>
        <v>0</v>
      </c>
    </row>
    <row r="45" spans="1:5" ht="13.5" thickBot="1">
      <c r="A45" s="484" t="s">
        <v>50</v>
      </c>
      <c r="B45" s="635">
        <f>SUM(B38:B44)</f>
        <v>0</v>
      </c>
      <c r="C45" s="635">
        <f>SUM(C38:C44)</f>
        <v>0</v>
      </c>
      <c r="D45" s="635">
        <f>SUM(D38:D44)</f>
        <v>0</v>
      </c>
      <c r="E45" s="636">
        <f>SUM(E38:E44)</f>
        <v>0</v>
      </c>
    </row>
    <row r="46" spans="1:5">
      <c r="A46" s="625"/>
      <c r="B46" s="625"/>
      <c r="C46" s="625"/>
      <c r="D46" s="625"/>
      <c r="E46" s="625"/>
    </row>
    <row r="47" spans="1:5">
      <c r="A47" s="485" t="s">
        <v>701</v>
      </c>
      <c r="B47" s="485"/>
      <c r="C47" s="485"/>
      <c r="D47" s="485"/>
      <c r="E47" s="485"/>
    </row>
    <row r="48" spans="1:5" ht="13.5" thickBot="1">
      <c r="A48" s="625"/>
      <c r="B48" s="625"/>
      <c r="C48" s="625"/>
      <c r="D48" s="625"/>
      <c r="E48" s="625"/>
    </row>
    <row r="49" spans="1:8" ht="13.5" thickBot="1">
      <c r="A49" s="770" t="s">
        <v>132</v>
      </c>
      <c r="B49" s="771"/>
      <c r="C49" s="772"/>
      <c r="D49" s="768" t="s">
        <v>608</v>
      </c>
      <c r="E49" s="769"/>
      <c r="H49" s="640"/>
    </row>
    <row r="50" spans="1:8">
      <c r="A50" s="773"/>
      <c r="B50" s="774"/>
      <c r="C50" s="775"/>
      <c r="D50" s="762"/>
      <c r="E50" s="763"/>
    </row>
    <row r="51" spans="1:8" ht="13.5" thickBot="1">
      <c r="A51" s="776"/>
      <c r="B51" s="777"/>
      <c r="C51" s="778"/>
      <c r="D51" s="764"/>
      <c r="E51" s="765"/>
    </row>
    <row r="52" spans="1:8" ht="13.5" thickBot="1">
      <c r="A52" s="759" t="s">
        <v>50</v>
      </c>
      <c r="B52" s="760"/>
      <c r="C52" s="761"/>
      <c r="D52" s="766">
        <f>SUM(D50:E51)</f>
        <v>0</v>
      </c>
      <c r="E52" s="767"/>
    </row>
  </sheetData>
  <mergeCells count="12">
    <mergeCell ref="B2:E2"/>
    <mergeCell ref="B25:E25"/>
    <mergeCell ref="D3:E3"/>
    <mergeCell ref="D26:E26"/>
    <mergeCell ref="A52:C52"/>
    <mergeCell ref="D50:E50"/>
    <mergeCell ref="D51:E51"/>
    <mergeCell ref="D52:E52"/>
    <mergeCell ref="D49:E49"/>
    <mergeCell ref="A49:C49"/>
    <mergeCell ref="A50:C50"/>
    <mergeCell ref="A51:C51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9" orientation="portrait" r:id="rId1"/>
  <headerFooter alignWithMargins="0">
    <oddHeader>&amp;LVonyarcvashegy Nagyközség Önkorm
&amp;C&amp;"Times New Roman CE,Félkövér"&amp;12
Európai uniós támogatással megvalósuló projektek 
bevételei, kiadásai, hozzájárulások&amp;R&amp;"Times New Roman CE,Félkövér dőlt"&amp;11 8. melléklet a ……/2018.() önkormányzati rendelethez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I161"/>
  <sheetViews>
    <sheetView zoomScale="94" zoomScaleNormal="94" zoomScaleSheetLayoutView="85" workbookViewId="0">
      <selection activeCell="B1" sqref="B1"/>
    </sheetView>
  </sheetViews>
  <sheetFormatPr defaultRowHeight="12.75"/>
  <cols>
    <col min="1" max="1" width="12.33203125" style="31" customWidth="1"/>
    <col min="2" max="2" width="56.33203125" style="10" bestFit="1" customWidth="1"/>
    <col min="3" max="9" width="25" style="32" customWidth="1"/>
    <col min="10" max="16384" width="9.33203125" style="121"/>
  </cols>
  <sheetData>
    <row r="1" spans="1:9" s="113" customFormat="1" ht="16.5" customHeight="1" thickBot="1">
      <c r="A1" s="1"/>
      <c r="B1" s="114" t="s">
        <v>790</v>
      </c>
      <c r="C1" s="114"/>
      <c r="D1" s="114"/>
      <c r="E1" s="114"/>
      <c r="F1" s="114"/>
      <c r="G1" s="114"/>
      <c r="H1" s="114"/>
      <c r="I1" s="114"/>
    </row>
    <row r="2" spans="1:9" s="116" customFormat="1" ht="21" customHeight="1">
      <c r="A2" s="2" t="s">
        <v>58</v>
      </c>
      <c r="B2" s="3" t="s">
        <v>538</v>
      </c>
      <c r="C2" s="115" t="s">
        <v>51</v>
      </c>
      <c r="D2" s="115" t="s">
        <v>51</v>
      </c>
      <c r="E2" s="115" t="s">
        <v>51</v>
      </c>
      <c r="F2" s="115" t="s">
        <v>51</v>
      </c>
      <c r="G2" s="115" t="s">
        <v>51</v>
      </c>
      <c r="H2" s="115" t="s">
        <v>51</v>
      </c>
      <c r="I2" s="115" t="s">
        <v>51</v>
      </c>
    </row>
    <row r="3" spans="1:9" s="116" customFormat="1" ht="16.5" thickBot="1">
      <c r="A3" s="117" t="s">
        <v>193</v>
      </c>
      <c r="B3" s="4" t="s">
        <v>396</v>
      </c>
      <c r="C3" s="118" t="s">
        <v>51</v>
      </c>
      <c r="D3" s="118" t="s">
        <v>51</v>
      </c>
      <c r="E3" s="118" t="s">
        <v>51</v>
      </c>
      <c r="F3" s="118" t="s">
        <v>51</v>
      </c>
      <c r="G3" s="118" t="s">
        <v>51</v>
      </c>
      <c r="H3" s="118" t="s">
        <v>51</v>
      </c>
      <c r="I3" s="118" t="s">
        <v>51</v>
      </c>
    </row>
    <row r="4" spans="1:9" s="119" customFormat="1" ht="15.95" customHeight="1" thickBot="1">
      <c r="A4" s="5"/>
      <c r="B4" s="5"/>
      <c r="C4" s="6" t="s">
        <v>588</v>
      </c>
      <c r="D4" s="6" t="s">
        <v>588</v>
      </c>
      <c r="E4" s="6" t="s">
        <v>588</v>
      </c>
      <c r="F4" s="6" t="s">
        <v>588</v>
      </c>
      <c r="G4" s="6" t="s">
        <v>588</v>
      </c>
      <c r="H4" s="6" t="s">
        <v>588</v>
      </c>
      <c r="I4" s="6" t="s">
        <v>588</v>
      </c>
    </row>
    <row r="5" spans="1:9" ht="26.25" thickBot="1">
      <c r="A5" s="7" t="s">
        <v>195</v>
      </c>
      <c r="B5" s="8" t="s">
        <v>52</v>
      </c>
      <c r="C5" s="120" t="s">
        <v>687</v>
      </c>
      <c r="D5" s="270" t="s">
        <v>738</v>
      </c>
      <c r="E5" s="270" t="s">
        <v>743</v>
      </c>
      <c r="F5" s="270" t="s">
        <v>758</v>
      </c>
      <c r="G5" s="270" t="s">
        <v>760</v>
      </c>
      <c r="H5" s="270" t="s">
        <v>773</v>
      </c>
      <c r="I5" s="270" t="s">
        <v>780</v>
      </c>
    </row>
    <row r="6" spans="1:9" s="122" customFormat="1" ht="12.95" customHeight="1" thickBot="1">
      <c r="A6" s="11" t="s">
        <v>485</v>
      </c>
      <c r="B6" s="12" t="s">
        <v>486</v>
      </c>
      <c r="C6" s="13" t="s">
        <v>487</v>
      </c>
      <c r="D6" s="13" t="s">
        <v>487</v>
      </c>
      <c r="E6" s="13" t="s">
        <v>487</v>
      </c>
      <c r="F6" s="13" t="s">
        <v>487</v>
      </c>
      <c r="G6" s="13" t="s">
        <v>487</v>
      </c>
      <c r="H6" s="13" t="s">
        <v>487</v>
      </c>
      <c r="I6" s="13" t="s">
        <v>487</v>
      </c>
    </row>
    <row r="7" spans="1:9" s="122" customFormat="1" ht="15.95" customHeight="1" thickBot="1">
      <c r="A7" s="14"/>
      <c r="B7" s="15" t="s">
        <v>53</v>
      </c>
      <c r="C7" s="123"/>
      <c r="D7" s="123"/>
      <c r="E7" s="123"/>
      <c r="F7" s="123"/>
      <c r="G7" s="123"/>
      <c r="H7" s="123"/>
      <c r="I7" s="123"/>
    </row>
    <row r="8" spans="1:9" s="47" customFormat="1" ht="12" customHeight="1" thickBot="1">
      <c r="A8" s="44" t="s">
        <v>16</v>
      </c>
      <c r="B8" s="45" t="s">
        <v>243</v>
      </c>
      <c r="C8" s="491">
        <f t="shared" ref="C8:H8" si="0">+C9+C10+C11+C12+C13+C14</f>
        <v>218395679</v>
      </c>
      <c r="D8" s="491">
        <f t="shared" si="0"/>
        <v>218917790</v>
      </c>
      <c r="E8" s="491">
        <f t="shared" si="0"/>
        <v>217376765</v>
      </c>
      <c r="F8" s="491">
        <f t="shared" si="0"/>
        <v>239578465</v>
      </c>
      <c r="G8" s="491">
        <f t="shared" si="0"/>
        <v>240984602</v>
      </c>
      <c r="H8" s="491">
        <f t="shared" si="0"/>
        <v>249147282</v>
      </c>
      <c r="I8" s="491">
        <f>+I9+I10+I11+I12+I13+I14</f>
        <v>249841722</v>
      </c>
    </row>
    <row r="9" spans="1:9" s="47" customFormat="1" ht="12" customHeight="1">
      <c r="A9" s="48" t="s">
        <v>95</v>
      </c>
      <c r="B9" s="49" t="s">
        <v>244</v>
      </c>
      <c r="C9" s="493">
        <v>117822978</v>
      </c>
      <c r="D9" s="493">
        <v>117822978</v>
      </c>
      <c r="E9" s="493">
        <v>117822978</v>
      </c>
      <c r="F9" s="493">
        <v>117822978</v>
      </c>
      <c r="G9" s="493">
        <v>117822978</v>
      </c>
      <c r="H9" s="493">
        <v>117822978</v>
      </c>
      <c r="I9" s="493">
        <f>117822978+173484</f>
        <v>117996462</v>
      </c>
    </row>
    <row r="10" spans="1:9" s="47" customFormat="1" ht="12" customHeight="1">
      <c r="A10" s="51" t="s">
        <v>96</v>
      </c>
      <c r="B10" s="52" t="s">
        <v>245</v>
      </c>
      <c r="C10" s="495">
        <v>56900500</v>
      </c>
      <c r="D10" s="495">
        <v>56900500</v>
      </c>
      <c r="E10" s="495">
        <f>56900500-2814800</f>
        <v>54085700</v>
      </c>
      <c r="F10" s="495">
        <f>56900500-2814800</f>
        <v>54085700</v>
      </c>
      <c r="G10" s="495">
        <f>56900500-2814800</f>
        <v>54085700</v>
      </c>
      <c r="H10" s="495">
        <f>56900500-2814800+3207200</f>
        <v>57292900</v>
      </c>
      <c r="I10" s="495">
        <f>56900500-2814800+3207200</f>
        <v>57292900</v>
      </c>
    </row>
    <row r="11" spans="1:9" s="47" customFormat="1" ht="12" customHeight="1">
      <c r="A11" s="51" t="s">
        <v>97</v>
      </c>
      <c r="B11" s="52" t="s">
        <v>246</v>
      </c>
      <c r="C11" s="495">
        <v>40194081</v>
      </c>
      <c r="D11" s="495">
        <v>40194081</v>
      </c>
      <c r="E11" s="495">
        <f>40194081-152000</f>
        <v>40042081</v>
      </c>
      <c r="F11" s="495">
        <f>40194081-152000</f>
        <v>40042081</v>
      </c>
      <c r="G11" s="495">
        <f>40194081-152000</f>
        <v>40042081</v>
      </c>
      <c r="H11" s="495">
        <f>40194081-152000+191640</f>
        <v>40233721</v>
      </c>
      <c r="I11" s="495">
        <f>40194081-152000+191640+518310</f>
        <v>40752031</v>
      </c>
    </row>
    <row r="12" spans="1:9" s="47" customFormat="1" ht="12" customHeight="1">
      <c r="A12" s="51" t="s">
        <v>98</v>
      </c>
      <c r="B12" s="52" t="s">
        <v>247</v>
      </c>
      <c r="C12" s="495">
        <v>3063720</v>
      </c>
      <c r="D12" s="495">
        <f>3063720+280587</f>
        <v>3344307</v>
      </c>
      <c r="E12" s="495">
        <f>3063720+280587+411269+187376</f>
        <v>3942952</v>
      </c>
      <c r="F12" s="495">
        <f>3063720+280587+411269+187376</f>
        <v>3942952</v>
      </c>
      <c r="G12" s="495">
        <f>3063720+280587+411269+187376+281066</f>
        <v>4224018</v>
      </c>
      <c r="H12" s="495">
        <f>3063720+280587+411269+187376+281066+226143+92490</f>
        <v>4542651</v>
      </c>
      <c r="I12" s="495">
        <f>3063720+280587+411269+187376+281066+226143+92490+92494</f>
        <v>4635145</v>
      </c>
    </row>
    <row r="13" spans="1:9" s="47" customFormat="1" ht="12" customHeight="1">
      <c r="A13" s="51" t="s">
        <v>141</v>
      </c>
      <c r="B13" s="54" t="s">
        <v>428</v>
      </c>
      <c r="C13" s="495">
        <v>414400</v>
      </c>
      <c r="D13" s="495">
        <f>414400+241524</f>
        <v>655924</v>
      </c>
      <c r="E13" s="495">
        <f>414400+241524+533400+293730</f>
        <v>1483054</v>
      </c>
      <c r="F13" s="495">
        <f>414400+241524+533400+293730+19701700+2500000</f>
        <v>23684754</v>
      </c>
      <c r="G13" s="495">
        <f>414400+241524+533400+293730+19701700+2500000+585071+540000</f>
        <v>24809825</v>
      </c>
      <c r="H13" s="495">
        <f>414400+241524+533400+293730+19701700+2500000+585071+540000+291818+2951480+145909+1056000</f>
        <v>29255032</v>
      </c>
      <c r="I13" s="495">
        <f>414400+241524+533400+293730+19701700+2500000+585071+540000+291818+2951480+145909+51252-141100+1056000</f>
        <v>29165184</v>
      </c>
    </row>
    <row r="14" spans="1:9" s="47" customFormat="1" ht="12" customHeight="1" thickBot="1">
      <c r="A14" s="55" t="s">
        <v>99</v>
      </c>
      <c r="B14" s="56" t="s">
        <v>429</v>
      </c>
      <c r="C14" s="495"/>
      <c r="D14" s="495"/>
      <c r="E14" s="495"/>
      <c r="F14" s="495"/>
      <c r="G14" s="495"/>
      <c r="H14" s="495"/>
      <c r="I14" s="495"/>
    </row>
    <row r="15" spans="1:9" s="47" customFormat="1" ht="12" customHeight="1" thickBot="1">
      <c r="A15" s="44" t="s">
        <v>17</v>
      </c>
      <c r="B15" s="57" t="s">
        <v>248</v>
      </c>
      <c r="C15" s="491">
        <f t="shared" ref="C15:H15" si="1">+C16+C17+C18+C19+C20</f>
        <v>73241871</v>
      </c>
      <c r="D15" s="491">
        <f t="shared" si="1"/>
        <v>76180274</v>
      </c>
      <c r="E15" s="491">
        <f t="shared" si="1"/>
        <v>74594319</v>
      </c>
      <c r="F15" s="491">
        <f t="shared" si="1"/>
        <v>54892619</v>
      </c>
      <c r="G15" s="491">
        <f t="shared" si="1"/>
        <v>57452379</v>
      </c>
      <c r="H15" s="491">
        <f t="shared" si="1"/>
        <v>58501515</v>
      </c>
      <c r="I15" s="491">
        <f>+I16+I17+I18+I19+I20</f>
        <v>58501515</v>
      </c>
    </row>
    <row r="16" spans="1:9" s="47" customFormat="1" ht="12" customHeight="1">
      <c r="A16" s="48" t="s">
        <v>101</v>
      </c>
      <c r="B16" s="49" t="s">
        <v>249</v>
      </c>
      <c r="C16" s="493"/>
      <c r="D16" s="493"/>
      <c r="E16" s="493"/>
      <c r="F16" s="493"/>
      <c r="G16" s="493"/>
      <c r="H16" s="493"/>
      <c r="I16" s="493"/>
    </row>
    <row r="17" spans="1:9" s="47" customFormat="1" ht="12" customHeight="1">
      <c r="A17" s="51" t="s">
        <v>102</v>
      </c>
      <c r="B17" s="52" t="s">
        <v>250</v>
      </c>
      <c r="C17" s="495"/>
      <c r="D17" s="495"/>
      <c r="E17" s="495"/>
      <c r="F17" s="495"/>
      <c r="G17" s="495"/>
      <c r="H17" s="495"/>
      <c r="I17" s="495"/>
    </row>
    <row r="18" spans="1:9" s="47" customFormat="1" ht="12" customHeight="1">
      <c r="A18" s="51" t="s">
        <v>103</v>
      </c>
      <c r="B18" s="52" t="s">
        <v>418</v>
      </c>
      <c r="C18" s="495"/>
      <c r="D18" s="495"/>
      <c r="E18" s="495"/>
      <c r="F18" s="495"/>
      <c r="G18" s="495"/>
      <c r="H18" s="495"/>
      <c r="I18" s="495"/>
    </row>
    <row r="19" spans="1:9" s="47" customFormat="1" ht="12" customHeight="1">
      <c r="A19" s="51" t="s">
        <v>104</v>
      </c>
      <c r="B19" s="52" t="s">
        <v>419</v>
      </c>
      <c r="C19" s="495"/>
      <c r="D19" s="495"/>
      <c r="E19" s="495"/>
      <c r="F19" s="495"/>
      <c r="G19" s="495"/>
      <c r="H19" s="495"/>
      <c r="I19" s="495"/>
    </row>
    <row r="20" spans="1:9" s="47" customFormat="1" ht="12" customHeight="1">
      <c r="A20" s="51" t="s">
        <v>105</v>
      </c>
      <c r="B20" s="52" t="s">
        <v>251</v>
      </c>
      <c r="C20" s="495">
        <v>73241871</v>
      </c>
      <c r="D20" s="495">
        <f>73241871+105000+715832+78540+119640+1919391</f>
        <v>76180274</v>
      </c>
      <c r="E20" s="495">
        <f>73241871+105000+715832+78540+119640+1919391-1919391+2706807-2706807+220934+112502</f>
        <v>74594319</v>
      </c>
      <c r="F20" s="495">
        <f>73241871+105000+715832+78540+119640+1919391-1919391+2706807-2706807+220934+112502-19701700</f>
        <v>54892619</v>
      </c>
      <c r="G20" s="495">
        <f>54892619+37000+75000+962832+585681+536874-22400+366520+18253</f>
        <v>57452379</v>
      </c>
      <c r="H20" s="495">
        <f>57452379+306000+37000+706136</f>
        <v>58501515</v>
      </c>
      <c r="I20" s="495">
        <f>57452379+306000+37000+706136</f>
        <v>58501515</v>
      </c>
    </row>
    <row r="21" spans="1:9" s="47" customFormat="1" ht="12" customHeight="1" thickBot="1">
      <c r="A21" s="55" t="s">
        <v>114</v>
      </c>
      <c r="B21" s="56" t="s">
        <v>252</v>
      </c>
      <c r="C21" s="497"/>
      <c r="D21" s="497"/>
      <c r="E21" s="497"/>
      <c r="F21" s="497"/>
      <c r="G21" s="497"/>
      <c r="H21" s="497"/>
      <c r="I21" s="497"/>
    </row>
    <row r="22" spans="1:9" s="47" customFormat="1" ht="12" customHeight="1" thickBot="1">
      <c r="A22" s="44" t="s">
        <v>18</v>
      </c>
      <c r="B22" s="45" t="s">
        <v>253</v>
      </c>
      <c r="C22" s="491">
        <f t="shared" ref="C22:H22" si="2">+C23+C24+C25+C26+C27</f>
        <v>55972518</v>
      </c>
      <c r="D22" s="491">
        <f t="shared" si="2"/>
        <v>55972518</v>
      </c>
      <c r="E22" s="491">
        <f t="shared" si="2"/>
        <v>66275833</v>
      </c>
      <c r="F22" s="491">
        <f t="shared" si="2"/>
        <v>66275833</v>
      </c>
      <c r="G22" s="491">
        <f t="shared" si="2"/>
        <v>66275833</v>
      </c>
      <c r="H22" s="491">
        <f t="shared" si="2"/>
        <v>66782561</v>
      </c>
      <c r="I22" s="491">
        <f>+I23+I24+I25+I26+I27</f>
        <v>66782561</v>
      </c>
    </row>
    <row r="23" spans="1:9" s="47" customFormat="1" ht="12" customHeight="1">
      <c r="A23" s="48" t="s">
        <v>84</v>
      </c>
      <c r="B23" s="49" t="s">
        <v>254</v>
      </c>
      <c r="C23" s="493"/>
      <c r="D23" s="493"/>
      <c r="E23" s="493"/>
      <c r="F23" s="493"/>
      <c r="G23" s="493"/>
      <c r="H23" s="493">
        <f>506728</f>
        <v>506728</v>
      </c>
      <c r="I23" s="493">
        <f>506728</f>
        <v>506728</v>
      </c>
    </row>
    <row r="24" spans="1:9" s="47" customFormat="1" ht="12" customHeight="1">
      <c r="A24" s="51" t="s">
        <v>85</v>
      </c>
      <c r="B24" s="52" t="s">
        <v>255</v>
      </c>
      <c r="C24" s="495"/>
      <c r="D24" s="495"/>
      <c r="E24" s="495"/>
      <c r="F24" s="495"/>
      <c r="G24" s="495"/>
      <c r="H24" s="495"/>
      <c r="I24" s="495"/>
    </row>
    <row r="25" spans="1:9" s="47" customFormat="1" ht="12" customHeight="1">
      <c r="A25" s="51" t="s">
        <v>86</v>
      </c>
      <c r="B25" s="52" t="s">
        <v>420</v>
      </c>
      <c r="C25" s="495"/>
      <c r="D25" s="495"/>
      <c r="E25" s="495"/>
      <c r="F25" s="495"/>
      <c r="G25" s="495"/>
      <c r="H25" s="495"/>
      <c r="I25" s="495"/>
    </row>
    <row r="26" spans="1:9" s="47" customFormat="1" ht="12" customHeight="1">
      <c r="A26" s="51" t="s">
        <v>87</v>
      </c>
      <c r="B26" s="52" t="s">
        <v>421</v>
      </c>
      <c r="C26" s="495"/>
      <c r="D26" s="495"/>
      <c r="E26" s="495"/>
      <c r="F26" s="495"/>
      <c r="G26" s="495"/>
      <c r="H26" s="495"/>
      <c r="I26" s="495"/>
    </row>
    <row r="27" spans="1:9" s="47" customFormat="1" ht="12" customHeight="1">
      <c r="A27" s="51" t="s">
        <v>162</v>
      </c>
      <c r="B27" s="52" t="s">
        <v>256</v>
      </c>
      <c r="C27" s="495">
        <v>55972518</v>
      </c>
      <c r="D27" s="495">
        <v>55972518</v>
      </c>
      <c r="E27" s="495">
        <f>55972518+7817442+2485873</f>
        <v>66275833</v>
      </c>
      <c r="F27" s="495">
        <f>55972518+7817442+2485873</f>
        <v>66275833</v>
      </c>
      <c r="G27" s="495">
        <f>55972518+7817442+2485873</f>
        <v>66275833</v>
      </c>
      <c r="H27" s="495">
        <f>55972518+7817442+2485873</f>
        <v>66275833</v>
      </c>
      <c r="I27" s="495">
        <f>55972518+7817442+2485873</f>
        <v>66275833</v>
      </c>
    </row>
    <row r="28" spans="1:9" s="47" customFormat="1" ht="12" customHeight="1" thickBot="1">
      <c r="A28" s="55" t="s">
        <v>163</v>
      </c>
      <c r="B28" s="59" t="s">
        <v>257</v>
      </c>
      <c r="C28" s="497"/>
      <c r="D28" s="497"/>
      <c r="E28" s="497"/>
      <c r="F28" s="497"/>
      <c r="G28" s="497"/>
      <c r="H28" s="497"/>
      <c r="I28" s="497"/>
    </row>
    <row r="29" spans="1:9" s="47" customFormat="1" ht="12" customHeight="1" thickBot="1">
      <c r="A29" s="44" t="s">
        <v>164</v>
      </c>
      <c r="B29" s="45" t="s">
        <v>258</v>
      </c>
      <c r="C29" s="491">
        <f t="shared" ref="C29:H29" si="3">+C30+C34+C35+C36</f>
        <v>129930000</v>
      </c>
      <c r="D29" s="491">
        <f t="shared" si="3"/>
        <v>129930000</v>
      </c>
      <c r="E29" s="491">
        <f t="shared" si="3"/>
        <v>129930000</v>
      </c>
      <c r="F29" s="491">
        <f t="shared" si="3"/>
        <v>129930000</v>
      </c>
      <c r="G29" s="491">
        <f t="shared" si="3"/>
        <v>129930000</v>
      </c>
      <c r="H29" s="491">
        <f t="shared" si="3"/>
        <v>147930000</v>
      </c>
      <c r="I29" s="491">
        <f>+I30+I34+I35+I36</f>
        <v>157858000</v>
      </c>
    </row>
    <row r="30" spans="1:9" s="47" customFormat="1" ht="12" customHeight="1">
      <c r="A30" s="48" t="s">
        <v>259</v>
      </c>
      <c r="B30" s="124" t="s">
        <v>435</v>
      </c>
      <c r="C30" s="499">
        <f t="shared" ref="C30:H30" si="4">C31+C32+C33</f>
        <v>94400000</v>
      </c>
      <c r="D30" s="499">
        <f t="shared" si="4"/>
        <v>94400000</v>
      </c>
      <c r="E30" s="499">
        <f t="shared" si="4"/>
        <v>94400000</v>
      </c>
      <c r="F30" s="499">
        <f t="shared" si="4"/>
        <v>94400000</v>
      </c>
      <c r="G30" s="499">
        <f t="shared" si="4"/>
        <v>94400000</v>
      </c>
      <c r="H30" s="499">
        <f t="shared" si="4"/>
        <v>106400000</v>
      </c>
      <c r="I30" s="499">
        <f>I31+I32+I33</f>
        <v>114650000</v>
      </c>
    </row>
    <row r="31" spans="1:9" s="47" customFormat="1" ht="12" customHeight="1">
      <c r="A31" s="51" t="s">
        <v>260</v>
      </c>
      <c r="B31" s="125" t="s">
        <v>603</v>
      </c>
      <c r="C31" s="495">
        <v>56400000</v>
      </c>
      <c r="D31" s="495">
        <v>56400000</v>
      </c>
      <c r="E31" s="495">
        <v>56400000</v>
      </c>
      <c r="F31" s="495">
        <v>56400000</v>
      </c>
      <c r="G31" s="495">
        <v>56400000</v>
      </c>
      <c r="H31" s="495">
        <f>56400000+5000000</f>
        <v>61400000</v>
      </c>
      <c r="I31" s="495">
        <f>56400000+5000000+500000</f>
        <v>61900000</v>
      </c>
    </row>
    <row r="32" spans="1:9" s="47" customFormat="1" ht="12" customHeight="1">
      <c r="A32" s="51" t="s">
        <v>261</v>
      </c>
      <c r="B32" s="125" t="s">
        <v>604</v>
      </c>
      <c r="C32" s="495"/>
      <c r="D32" s="495"/>
      <c r="E32" s="495"/>
      <c r="F32" s="495"/>
      <c r="G32" s="495"/>
      <c r="H32" s="495"/>
      <c r="I32" s="495"/>
    </row>
    <row r="33" spans="1:9" s="47" customFormat="1" ht="12" customHeight="1">
      <c r="A33" s="51" t="s">
        <v>433</v>
      </c>
      <c r="B33" s="126" t="s">
        <v>434</v>
      </c>
      <c r="C33" s="495">
        <v>38000000</v>
      </c>
      <c r="D33" s="495">
        <v>38000000</v>
      </c>
      <c r="E33" s="495">
        <v>38000000</v>
      </c>
      <c r="F33" s="495">
        <v>38000000</v>
      </c>
      <c r="G33" s="495">
        <v>38000000</v>
      </c>
      <c r="H33" s="495">
        <f>38000000+7000000</f>
        <v>45000000</v>
      </c>
      <c r="I33" s="495">
        <f>38000000+7000000+5000000+250000+2500000</f>
        <v>52750000</v>
      </c>
    </row>
    <row r="34" spans="1:9" s="47" customFormat="1" ht="12" customHeight="1">
      <c r="A34" s="51" t="s">
        <v>262</v>
      </c>
      <c r="B34" s="125" t="s">
        <v>267</v>
      </c>
      <c r="C34" s="495">
        <v>7400000</v>
      </c>
      <c r="D34" s="495">
        <v>7400000</v>
      </c>
      <c r="E34" s="495">
        <v>7400000</v>
      </c>
      <c r="F34" s="495">
        <v>7400000</v>
      </c>
      <c r="G34" s="495">
        <v>7400000</v>
      </c>
      <c r="H34" s="495">
        <f>7400000+3000000</f>
        <v>10400000</v>
      </c>
      <c r="I34" s="495">
        <f>7400000+3000000+500000</f>
        <v>10900000</v>
      </c>
    </row>
    <row r="35" spans="1:9" s="47" customFormat="1" ht="12" customHeight="1">
      <c r="A35" s="51" t="s">
        <v>263</v>
      </c>
      <c r="B35" s="125" t="s">
        <v>581</v>
      </c>
      <c r="C35" s="495">
        <v>27500000</v>
      </c>
      <c r="D35" s="495">
        <v>27500000</v>
      </c>
      <c r="E35" s="495">
        <v>27500000</v>
      </c>
      <c r="F35" s="495">
        <v>27500000</v>
      </c>
      <c r="G35" s="495">
        <v>27500000</v>
      </c>
      <c r="H35" s="495">
        <f>27500000+2500000</f>
        <v>30000000</v>
      </c>
      <c r="I35" s="495">
        <f>27500000+2500000+410000+420000</f>
        <v>30830000</v>
      </c>
    </row>
    <row r="36" spans="1:9" s="47" customFormat="1" ht="12" customHeight="1" thickBot="1">
      <c r="A36" s="55" t="s">
        <v>264</v>
      </c>
      <c r="B36" s="127" t="s">
        <v>269</v>
      </c>
      <c r="C36" s="497">
        <v>630000</v>
      </c>
      <c r="D36" s="497">
        <v>630000</v>
      </c>
      <c r="E36" s="497">
        <v>630000</v>
      </c>
      <c r="F36" s="497">
        <v>630000</v>
      </c>
      <c r="G36" s="497">
        <v>630000</v>
      </c>
      <c r="H36" s="497">
        <f>630000+500000</f>
        <v>1130000</v>
      </c>
      <c r="I36" s="497">
        <f>630000+500000+88000+50000+210000</f>
        <v>1478000</v>
      </c>
    </row>
    <row r="37" spans="1:9" s="47" customFormat="1" ht="12" customHeight="1" thickBot="1">
      <c r="A37" s="44" t="s">
        <v>20</v>
      </c>
      <c r="B37" s="45" t="s">
        <v>430</v>
      </c>
      <c r="C37" s="491">
        <f t="shared" ref="C37:H37" si="5">SUM(C38:C48)</f>
        <v>139882547</v>
      </c>
      <c r="D37" s="491">
        <f t="shared" si="5"/>
        <v>139882547</v>
      </c>
      <c r="E37" s="491">
        <f t="shared" si="5"/>
        <v>139734281</v>
      </c>
      <c r="F37" s="491">
        <f t="shared" si="5"/>
        <v>139734281</v>
      </c>
      <c r="G37" s="491">
        <f t="shared" si="5"/>
        <v>173504281</v>
      </c>
      <c r="H37" s="491">
        <f t="shared" si="5"/>
        <v>174874281</v>
      </c>
      <c r="I37" s="491">
        <f>SUM(I38:I48)</f>
        <v>178080281</v>
      </c>
    </row>
    <row r="38" spans="1:9" s="47" customFormat="1" ht="12" customHeight="1">
      <c r="A38" s="48" t="s">
        <v>88</v>
      </c>
      <c r="B38" s="49" t="s">
        <v>272</v>
      </c>
      <c r="C38" s="493"/>
      <c r="D38" s="493"/>
      <c r="E38" s="493"/>
      <c r="F38" s="493"/>
      <c r="G38" s="493"/>
      <c r="H38" s="493"/>
      <c r="I38" s="493"/>
    </row>
    <row r="39" spans="1:9" s="47" customFormat="1" ht="12" customHeight="1">
      <c r="A39" s="51" t="s">
        <v>89</v>
      </c>
      <c r="B39" s="52" t="s">
        <v>273</v>
      </c>
      <c r="C39" s="495">
        <v>94800709</v>
      </c>
      <c r="D39" s="495">
        <v>94800709</v>
      </c>
      <c r="E39" s="495">
        <f>94800709+132213-196063-118110</f>
        <v>94618749</v>
      </c>
      <c r="F39" s="495">
        <f>94800709+132213-196063-118110</f>
        <v>94618749</v>
      </c>
      <c r="G39" s="495">
        <f>94800709+132213-196063-118110+26500000</f>
        <v>121118749</v>
      </c>
      <c r="H39" s="495">
        <f>94800709+132213-196063-118110+26500000+1000000</f>
        <v>122118749</v>
      </c>
      <c r="I39" s="495">
        <f>94800709+132213-196063-118110+26500000+1000000+780000+1200000</f>
        <v>124098749</v>
      </c>
    </row>
    <row r="40" spans="1:9" s="47" customFormat="1" ht="12" customHeight="1">
      <c r="A40" s="51" t="s">
        <v>90</v>
      </c>
      <c r="B40" s="52" t="s">
        <v>274</v>
      </c>
      <c r="C40" s="495">
        <v>2400000</v>
      </c>
      <c r="D40" s="495">
        <v>2400000</v>
      </c>
      <c r="E40" s="495">
        <v>2400000</v>
      </c>
      <c r="F40" s="495">
        <v>2400000</v>
      </c>
      <c r="G40" s="495">
        <v>2400000</v>
      </c>
      <c r="H40" s="495">
        <v>2400000</v>
      </c>
      <c r="I40" s="495">
        <f>2400000+40000+200000</f>
        <v>2640000</v>
      </c>
    </row>
    <row r="41" spans="1:9" s="47" customFormat="1" ht="12" customHeight="1">
      <c r="A41" s="51" t="s">
        <v>166</v>
      </c>
      <c r="B41" s="52" t="s">
        <v>275</v>
      </c>
      <c r="C41" s="495"/>
      <c r="D41" s="495"/>
      <c r="E41" s="495"/>
      <c r="F41" s="495"/>
      <c r="G41" s="495"/>
      <c r="H41" s="495"/>
      <c r="I41" s="495"/>
    </row>
    <row r="42" spans="1:9" s="47" customFormat="1" ht="12" customHeight="1">
      <c r="A42" s="51" t="s">
        <v>167</v>
      </c>
      <c r="B42" s="52" t="s">
        <v>276</v>
      </c>
      <c r="C42" s="495">
        <v>1500000</v>
      </c>
      <c r="D42" s="495">
        <v>1500000</v>
      </c>
      <c r="E42" s="495">
        <v>1500000</v>
      </c>
      <c r="F42" s="495">
        <v>1500000</v>
      </c>
      <c r="G42" s="495">
        <v>1500000</v>
      </c>
      <c r="H42" s="495">
        <f>1500000+300000</f>
        <v>1800000</v>
      </c>
      <c r="I42" s="495">
        <f>1500000+300000+35000</f>
        <v>1835000</v>
      </c>
    </row>
    <row r="43" spans="1:9" s="47" customFormat="1" ht="12" customHeight="1">
      <c r="A43" s="51" t="s">
        <v>168</v>
      </c>
      <c r="B43" s="52" t="s">
        <v>277</v>
      </c>
      <c r="C43" s="495">
        <v>26748983</v>
      </c>
      <c r="D43" s="495">
        <v>26748983</v>
      </c>
      <c r="E43" s="495">
        <f>26748983+35697-52937-31890</f>
        <v>26699853</v>
      </c>
      <c r="F43" s="495">
        <f>26748983+35697-52937-31890</f>
        <v>26699853</v>
      </c>
      <c r="G43" s="495">
        <f>26748983+35697-52937-31890+7200000</f>
        <v>33899853</v>
      </c>
      <c r="H43" s="495">
        <f>26748983+35697-52937-31890+7200000</f>
        <v>33899853</v>
      </c>
      <c r="I43" s="495">
        <f>26748983+35697-52937-31890+7200000+530000+380000</f>
        <v>34809853</v>
      </c>
    </row>
    <row r="44" spans="1:9" s="47" customFormat="1" ht="12" customHeight="1">
      <c r="A44" s="51" t="s">
        <v>169</v>
      </c>
      <c r="B44" s="52" t="s">
        <v>278</v>
      </c>
      <c r="C44" s="495">
        <v>14000000</v>
      </c>
      <c r="D44" s="495">
        <v>14000000</v>
      </c>
      <c r="E44" s="495">
        <v>14000000</v>
      </c>
      <c r="F44" s="495">
        <v>14000000</v>
      </c>
      <c r="G44" s="495">
        <v>14000000</v>
      </c>
      <c r="H44" s="495">
        <v>14000000</v>
      </c>
      <c r="I44" s="495">
        <v>14000000</v>
      </c>
    </row>
    <row r="45" spans="1:9" s="47" customFormat="1" ht="12" customHeight="1">
      <c r="A45" s="51" t="s">
        <v>170</v>
      </c>
      <c r="B45" s="52" t="s">
        <v>279</v>
      </c>
      <c r="C45" s="495">
        <v>20000</v>
      </c>
      <c r="D45" s="495">
        <v>20000</v>
      </c>
      <c r="E45" s="495">
        <v>20000</v>
      </c>
      <c r="F45" s="495">
        <v>20000</v>
      </c>
      <c r="G45" s="495">
        <v>20000</v>
      </c>
      <c r="H45" s="495">
        <v>20000</v>
      </c>
      <c r="I45" s="495">
        <v>20000</v>
      </c>
    </row>
    <row r="46" spans="1:9" s="47" customFormat="1" ht="12" customHeight="1">
      <c r="A46" s="51" t="s">
        <v>270</v>
      </c>
      <c r="B46" s="52" t="s">
        <v>280</v>
      </c>
      <c r="C46" s="495"/>
      <c r="D46" s="495"/>
      <c r="E46" s="495"/>
      <c r="F46" s="495"/>
      <c r="G46" s="495"/>
      <c r="H46" s="495"/>
      <c r="I46" s="495"/>
    </row>
    <row r="47" spans="1:9" s="47" customFormat="1" ht="12" customHeight="1">
      <c r="A47" s="55" t="s">
        <v>271</v>
      </c>
      <c r="B47" s="59" t="s">
        <v>432</v>
      </c>
      <c r="C47" s="497"/>
      <c r="D47" s="497"/>
      <c r="E47" s="497"/>
      <c r="F47" s="497"/>
      <c r="G47" s="497"/>
      <c r="H47" s="497"/>
      <c r="I47" s="497"/>
    </row>
    <row r="48" spans="1:9" s="47" customFormat="1" ht="12" customHeight="1" thickBot="1">
      <c r="A48" s="55" t="s">
        <v>431</v>
      </c>
      <c r="B48" s="56" t="s">
        <v>281</v>
      </c>
      <c r="C48" s="497">
        <v>412855</v>
      </c>
      <c r="D48" s="497">
        <v>412855</v>
      </c>
      <c r="E48" s="497">
        <f>412855+82824</f>
        <v>495679</v>
      </c>
      <c r="F48" s="497">
        <f>412855+82824</f>
        <v>495679</v>
      </c>
      <c r="G48" s="497">
        <f>412855+82824+70000</f>
        <v>565679</v>
      </c>
      <c r="H48" s="497">
        <f>412855+82824+70000+70000</f>
        <v>635679</v>
      </c>
      <c r="I48" s="497">
        <f>412855+82824+70000+70000+41000</f>
        <v>676679</v>
      </c>
    </row>
    <row r="49" spans="1:9" s="47" customFormat="1" ht="12" customHeight="1" thickBot="1">
      <c r="A49" s="44" t="s">
        <v>21</v>
      </c>
      <c r="B49" s="45" t="s">
        <v>282</v>
      </c>
      <c r="C49" s="491">
        <f t="shared" ref="C49:H49" si="6">SUM(C50:C54)</f>
        <v>0</v>
      </c>
      <c r="D49" s="491">
        <f t="shared" si="6"/>
        <v>0</v>
      </c>
      <c r="E49" s="491">
        <f t="shared" si="6"/>
        <v>0</v>
      </c>
      <c r="F49" s="491">
        <f t="shared" si="6"/>
        <v>0</v>
      </c>
      <c r="G49" s="491">
        <f t="shared" si="6"/>
        <v>0</v>
      </c>
      <c r="H49" s="491">
        <f t="shared" si="6"/>
        <v>0</v>
      </c>
      <c r="I49" s="491">
        <f>SUM(I50:I54)</f>
        <v>9574</v>
      </c>
    </row>
    <row r="50" spans="1:9" s="47" customFormat="1" ht="12" customHeight="1">
      <c r="A50" s="48" t="s">
        <v>91</v>
      </c>
      <c r="B50" s="49" t="s">
        <v>286</v>
      </c>
      <c r="C50" s="493"/>
      <c r="D50" s="493"/>
      <c r="E50" s="493"/>
      <c r="F50" s="493"/>
      <c r="G50" s="493"/>
      <c r="H50" s="493"/>
      <c r="I50" s="493"/>
    </row>
    <row r="51" spans="1:9" s="47" customFormat="1" ht="12" customHeight="1">
      <c r="A51" s="51" t="s">
        <v>92</v>
      </c>
      <c r="B51" s="52" t="s">
        <v>287</v>
      </c>
      <c r="C51" s="495"/>
      <c r="D51" s="495"/>
      <c r="E51" s="495"/>
      <c r="F51" s="495"/>
      <c r="G51" s="495"/>
      <c r="H51" s="495"/>
      <c r="I51" s="495"/>
    </row>
    <row r="52" spans="1:9" s="47" customFormat="1" ht="12" customHeight="1">
      <c r="A52" s="51" t="s">
        <v>283</v>
      </c>
      <c r="B52" s="52" t="s">
        <v>288</v>
      </c>
      <c r="C52" s="495"/>
      <c r="D52" s="495"/>
      <c r="E52" s="495"/>
      <c r="F52" s="495"/>
      <c r="G52" s="495"/>
      <c r="H52" s="495"/>
      <c r="I52" s="495"/>
    </row>
    <row r="53" spans="1:9" s="47" customFormat="1" ht="12" customHeight="1">
      <c r="A53" s="51" t="s">
        <v>284</v>
      </c>
      <c r="B53" s="52" t="s">
        <v>289</v>
      </c>
      <c r="C53" s="495"/>
      <c r="D53" s="495"/>
      <c r="E53" s="495"/>
      <c r="F53" s="495"/>
      <c r="G53" s="495"/>
      <c r="H53" s="495"/>
      <c r="I53" s="495">
        <v>9574</v>
      </c>
    </row>
    <row r="54" spans="1:9" s="47" customFormat="1" ht="12" customHeight="1" thickBot="1">
      <c r="A54" s="55" t="s">
        <v>285</v>
      </c>
      <c r="B54" s="56" t="s">
        <v>290</v>
      </c>
      <c r="C54" s="497"/>
      <c r="D54" s="497"/>
      <c r="E54" s="497"/>
      <c r="F54" s="497"/>
      <c r="G54" s="497"/>
      <c r="H54" s="497"/>
      <c r="I54" s="497"/>
    </row>
    <row r="55" spans="1:9" s="47" customFormat="1" ht="12" customHeight="1" thickBot="1">
      <c r="A55" s="44" t="s">
        <v>171</v>
      </c>
      <c r="B55" s="45" t="s">
        <v>291</v>
      </c>
      <c r="C55" s="491">
        <f t="shared" ref="C55:H55" si="7">SUM(C56:C58)</f>
        <v>0</v>
      </c>
      <c r="D55" s="491">
        <f t="shared" si="7"/>
        <v>0</v>
      </c>
      <c r="E55" s="491">
        <f t="shared" si="7"/>
        <v>0</v>
      </c>
      <c r="F55" s="491">
        <f t="shared" si="7"/>
        <v>0</v>
      </c>
      <c r="G55" s="491">
        <f t="shared" si="7"/>
        <v>0</v>
      </c>
      <c r="H55" s="491">
        <f t="shared" si="7"/>
        <v>0</v>
      </c>
      <c r="I55" s="491">
        <f>SUM(I56:I58)</f>
        <v>0</v>
      </c>
    </row>
    <row r="56" spans="1:9" s="47" customFormat="1" ht="12" customHeight="1">
      <c r="A56" s="48" t="s">
        <v>93</v>
      </c>
      <c r="B56" s="49" t="s">
        <v>292</v>
      </c>
      <c r="C56" s="493"/>
      <c r="D56" s="493"/>
      <c r="E56" s="493"/>
      <c r="F56" s="493"/>
      <c r="G56" s="493"/>
      <c r="H56" s="493"/>
      <c r="I56" s="493"/>
    </row>
    <row r="57" spans="1:9" s="47" customFormat="1" ht="12" customHeight="1">
      <c r="A57" s="51" t="s">
        <v>94</v>
      </c>
      <c r="B57" s="52" t="s">
        <v>422</v>
      </c>
      <c r="C57" s="495"/>
      <c r="D57" s="495"/>
      <c r="E57" s="495"/>
      <c r="F57" s="495"/>
      <c r="G57" s="495"/>
      <c r="H57" s="495"/>
      <c r="I57" s="495"/>
    </row>
    <row r="58" spans="1:9" s="47" customFormat="1" ht="12" customHeight="1">
      <c r="A58" s="51" t="s">
        <v>295</v>
      </c>
      <c r="B58" s="52" t="s">
        <v>293</v>
      </c>
      <c r="C58" s="495"/>
      <c r="D58" s="495"/>
      <c r="E58" s="495"/>
      <c r="F58" s="495"/>
      <c r="G58" s="495"/>
      <c r="H58" s="495"/>
      <c r="I58" s="495"/>
    </row>
    <row r="59" spans="1:9" s="47" customFormat="1" ht="12" customHeight="1" thickBot="1">
      <c r="A59" s="55" t="s">
        <v>296</v>
      </c>
      <c r="B59" s="56" t="s">
        <v>294</v>
      </c>
      <c r="C59" s="497"/>
      <c r="D59" s="497"/>
      <c r="E59" s="497"/>
      <c r="F59" s="497"/>
      <c r="G59" s="497"/>
      <c r="H59" s="497"/>
      <c r="I59" s="497"/>
    </row>
    <row r="60" spans="1:9" s="47" customFormat="1" ht="12" customHeight="1" thickBot="1">
      <c r="A60" s="44" t="s">
        <v>23</v>
      </c>
      <c r="B60" s="57" t="s">
        <v>297</v>
      </c>
      <c r="C60" s="491">
        <f t="shared" ref="C60:H60" si="8">SUM(C61:C63)</f>
        <v>120000</v>
      </c>
      <c r="D60" s="491">
        <f t="shared" si="8"/>
        <v>120000</v>
      </c>
      <c r="E60" s="491">
        <f t="shared" si="8"/>
        <v>120000</v>
      </c>
      <c r="F60" s="491">
        <f t="shared" si="8"/>
        <v>120000</v>
      </c>
      <c r="G60" s="491">
        <f t="shared" si="8"/>
        <v>120000</v>
      </c>
      <c r="H60" s="491">
        <f t="shared" si="8"/>
        <v>120000</v>
      </c>
      <c r="I60" s="491">
        <f>SUM(I61:I63)</f>
        <v>226000</v>
      </c>
    </row>
    <row r="61" spans="1:9" s="47" customFormat="1" ht="12" customHeight="1">
      <c r="A61" s="48" t="s">
        <v>172</v>
      </c>
      <c r="B61" s="49" t="s">
        <v>299</v>
      </c>
      <c r="C61" s="495"/>
      <c r="D61" s="495"/>
      <c r="E61" s="495"/>
      <c r="F61" s="495"/>
      <c r="G61" s="495"/>
      <c r="H61" s="495"/>
      <c r="I61" s="495"/>
    </row>
    <row r="62" spans="1:9" s="47" customFormat="1" ht="12" customHeight="1">
      <c r="A62" s="51" t="s">
        <v>173</v>
      </c>
      <c r="B62" s="52" t="s">
        <v>423</v>
      </c>
      <c r="C62" s="495">
        <v>120000</v>
      </c>
      <c r="D62" s="495">
        <v>120000</v>
      </c>
      <c r="E62" s="495">
        <v>120000</v>
      </c>
      <c r="F62" s="495">
        <v>120000</v>
      </c>
      <c r="G62" s="495">
        <v>120000</v>
      </c>
      <c r="H62" s="495">
        <v>120000</v>
      </c>
      <c r="I62" s="495">
        <f>120000+106000</f>
        <v>226000</v>
      </c>
    </row>
    <row r="63" spans="1:9" s="47" customFormat="1" ht="12" customHeight="1">
      <c r="A63" s="51" t="s">
        <v>221</v>
      </c>
      <c r="B63" s="52" t="s">
        <v>300</v>
      </c>
      <c r="C63" s="495"/>
      <c r="D63" s="495"/>
      <c r="E63" s="495"/>
      <c r="F63" s="495"/>
      <c r="G63" s="495"/>
      <c r="H63" s="495"/>
      <c r="I63" s="495"/>
    </row>
    <row r="64" spans="1:9" s="47" customFormat="1" ht="12" customHeight="1" thickBot="1">
      <c r="A64" s="55" t="s">
        <v>298</v>
      </c>
      <c r="B64" s="56" t="s">
        <v>301</v>
      </c>
      <c r="C64" s="495"/>
      <c r="D64" s="495"/>
      <c r="E64" s="495"/>
      <c r="F64" s="495"/>
      <c r="G64" s="495"/>
      <c r="H64" s="495"/>
      <c r="I64" s="495"/>
    </row>
    <row r="65" spans="1:9" s="47" customFormat="1" ht="12" customHeight="1" thickBot="1">
      <c r="A65" s="66" t="s">
        <v>474</v>
      </c>
      <c r="B65" s="45" t="s">
        <v>302</v>
      </c>
      <c r="C65" s="491">
        <f t="shared" ref="C65:H65" si="9">+C8+C15+C22+C29+C37+C49+C55+C60</f>
        <v>617542615</v>
      </c>
      <c r="D65" s="491">
        <f t="shared" si="9"/>
        <v>621003129</v>
      </c>
      <c r="E65" s="491">
        <f t="shared" si="9"/>
        <v>628031198</v>
      </c>
      <c r="F65" s="491">
        <f t="shared" si="9"/>
        <v>630531198</v>
      </c>
      <c r="G65" s="491">
        <f t="shared" si="9"/>
        <v>668267095</v>
      </c>
      <c r="H65" s="491">
        <f t="shared" si="9"/>
        <v>697355639</v>
      </c>
      <c r="I65" s="491">
        <f>+I8+I15+I22+I29+I37+I49+I55+I60</f>
        <v>711299653</v>
      </c>
    </row>
    <row r="66" spans="1:9" s="47" customFormat="1" ht="12" customHeight="1" thickBot="1">
      <c r="A66" s="67" t="s">
        <v>303</v>
      </c>
      <c r="B66" s="57" t="s">
        <v>304</v>
      </c>
      <c r="C66" s="491">
        <f t="shared" ref="C66:H66" si="10">SUM(C67:C69)</f>
        <v>0</v>
      </c>
      <c r="D66" s="491">
        <f t="shared" si="10"/>
        <v>0</v>
      </c>
      <c r="E66" s="491">
        <f t="shared" si="10"/>
        <v>0</v>
      </c>
      <c r="F66" s="491">
        <f t="shared" si="10"/>
        <v>0</v>
      </c>
      <c r="G66" s="491">
        <f t="shared" si="10"/>
        <v>0</v>
      </c>
      <c r="H66" s="491">
        <f t="shared" si="10"/>
        <v>0</v>
      </c>
      <c r="I66" s="491">
        <f>SUM(I67:I69)</f>
        <v>0</v>
      </c>
    </row>
    <row r="67" spans="1:9" s="47" customFormat="1" ht="12" customHeight="1">
      <c r="A67" s="48" t="s">
        <v>335</v>
      </c>
      <c r="B67" s="49" t="s">
        <v>305</v>
      </c>
      <c r="C67" s="495"/>
      <c r="D67" s="495"/>
      <c r="E67" s="495"/>
      <c r="F67" s="495"/>
      <c r="G67" s="495"/>
      <c r="H67" s="495"/>
      <c r="I67" s="495"/>
    </row>
    <row r="68" spans="1:9" s="47" customFormat="1" ht="12" customHeight="1">
      <c r="A68" s="51" t="s">
        <v>344</v>
      </c>
      <c r="B68" s="52" t="s">
        <v>306</v>
      </c>
      <c r="C68" s="495"/>
      <c r="D68" s="495"/>
      <c r="E68" s="495"/>
      <c r="F68" s="495"/>
      <c r="G68" s="495"/>
      <c r="H68" s="495"/>
      <c r="I68" s="495"/>
    </row>
    <row r="69" spans="1:9" s="47" customFormat="1" ht="12" customHeight="1" thickBot="1">
      <c r="A69" s="55" t="s">
        <v>345</v>
      </c>
      <c r="B69" s="68" t="s">
        <v>459</v>
      </c>
      <c r="C69" s="495"/>
      <c r="D69" s="495"/>
      <c r="E69" s="495"/>
      <c r="F69" s="495"/>
      <c r="G69" s="495"/>
      <c r="H69" s="495"/>
      <c r="I69" s="495"/>
    </row>
    <row r="70" spans="1:9" s="47" customFormat="1" ht="12" customHeight="1" thickBot="1">
      <c r="A70" s="67" t="s">
        <v>308</v>
      </c>
      <c r="B70" s="57" t="s">
        <v>309</v>
      </c>
      <c r="C70" s="491">
        <f t="shared" ref="C70:H70" si="11">SUM(C71:C74)</f>
        <v>0</v>
      </c>
      <c r="D70" s="491">
        <f t="shared" si="11"/>
        <v>0</v>
      </c>
      <c r="E70" s="491">
        <f t="shared" si="11"/>
        <v>0</v>
      </c>
      <c r="F70" s="491">
        <f t="shared" si="11"/>
        <v>0</v>
      </c>
      <c r="G70" s="491">
        <f t="shared" si="11"/>
        <v>9574</v>
      </c>
      <c r="H70" s="491">
        <f t="shared" si="11"/>
        <v>9574</v>
      </c>
      <c r="I70" s="491">
        <f>SUM(I71:I74)</f>
        <v>0</v>
      </c>
    </row>
    <row r="71" spans="1:9" s="47" customFormat="1" ht="12" customHeight="1">
      <c r="A71" s="48" t="s">
        <v>142</v>
      </c>
      <c r="B71" s="49" t="s">
        <v>310</v>
      </c>
      <c r="C71" s="495"/>
      <c r="D71" s="495"/>
      <c r="E71" s="495"/>
      <c r="F71" s="495"/>
      <c r="G71" s="495"/>
      <c r="H71" s="495"/>
      <c r="I71" s="495"/>
    </row>
    <row r="72" spans="1:9" s="47" customFormat="1" ht="12" customHeight="1">
      <c r="A72" s="51" t="s">
        <v>143</v>
      </c>
      <c r="B72" s="52" t="s">
        <v>311</v>
      </c>
      <c r="C72" s="495"/>
      <c r="D72" s="495"/>
      <c r="E72" s="495"/>
      <c r="F72" s="495"/>
      <c r="G72" s="495"/>
      <c r="H72" s="495"/>
      <c r="I72" s="495"/>
    </row>
    <row r="73" spans="1:9" s="47" customFormat="1" ht="12" customHeight="1">
      <c r="A73" s="51" t="s">
        <v>336</v>
      </c>
      <c r="B73" s="52" t="s">
        <v>312</v>
      </c>
      <c r="C73" s="495"/>
      <c r="D73" s="495"/>
      <c r="E73" s="495"/>
      <c r="F73" s="495"/>
      <c r="G73" s="495">
        <v>9574</v>
      </c>
      <c r="H73" s="495">
        <v>9574</v>
      </c>
      <c r="I73" s="495"/>
    </row>
    <row r="74" spans="1:9" s="47" customFormat="1" ht="12" customHeight="1" thickBot="1">
      <c r="A74" s="55" t="s">
        <v>337</v>
      </c>
      <c r="B74" s="56" t="s">
        <v>313</v>
      </c>
      <c r="C74" s="495"/>
      <c r="D74" s="495"/>
      <c r="E74" s="495"/>
      <c r="F74" s="495"/>
      <c r="G74" s="495"/>
      <c r="H74" s="495"/>
      <c r="I74" s="495"/>
    </row>
    <row r="75" spans="1:9" s="47" customFormat="1" ht="12" customHeight="1" thickBot="1">
      <c r="A75" s="67" t="s">
        <v>314</v>
      </c>
      <c r="B75" s="57" t="s">
        <v>315</v>
      </c>
      <c r="C75" s="491">
        <f t="shared" ref="C75:H75" si="12">SUM(C76:C77)</f>
        <v>606054429</v>
      </c>
      <c r="D75" s="491">
        <f t="shared" si="12"/>
        <v>606054429</v>
      </c>
      <c r="E75" s="491">
        <f t="shared" si="12"/>
        <v>605704429</v>
      </c>
      <c r="F75" s="491">
        <f t="shared" si="12"/>
        <v>605704429</v>
      </c>
      <c r="G75" s="491">
        <f t="shared" si="12"/>
        <v>605704429</v>
      </c>
      <c r="H75" s="491">
        <f t="shared" si="12"/>
        <v>605704429</v>
      </c>
      <c r="I75" s="491">
        <f>SUM(I76:I77)</f>
        <v>605704429</v>
      </c>
    </row>
    <row r="76" spans="1:9" s="47" customFormat="1" ht="12" customHeight="1">
      <c r="A76" s="48" t="s">
        <v>338</v>
      </c>
      <c r="B76" s="49" t="s">
        <v>316</v>
      </c>
      <c r="C76" s="495">
        <v>606054429</v>
      </c>
      <c r="D76" s="495">
        <v>606054429</v>
      </c>
      <c r="E76" s="495">
        <f>606054429-350000</f>
        <v>605704429</v>
      </c>
      <c r="F76" s="495">
        <f>606054429-350000</f>
        <v>605704429</v>
      </c>
      <c r="G76" s="495">
        <f>606054429-350000</f>
        <v>605704429</v>
      </c>
      <c r="H76" s="495">
        <f>606054429-350000</f>
        <v>605704429</v>
      </c>
      <c r="I76" s="495">
        <f>606054429-350000</f>
        <v>605704429</v>
      </c>
    </row>
    <row r="77" spans="1:9" s="47" customFormat="1" ht="12" customHeight="1" thickBot="1">
      <c r="A77" s="55" t="s">
        <v>339</v>
      </c>
      <c r="B77" s="56" t="s">
        <v>317</v>
      </c>
      <c r="C77" s="495"/>
      <c r="D77" s="495"/>
      <c r="E77" s="495"/>
      <c r="F77" s="495"/>
      <c r="G77" s="495"/>
      <c r="H77" s="495"/>
      <c r="I77" s="495"/>
    </row>
    <row r="78" spans="1:9" s="47" customFormat="1" ht="12" customHeight="1" thickBot="1">
      <c r="A78" s="67" t="s">
        <v>318</v>
      </c>
      <c r="B78" s="57" t="s">
        <v>319</v>
      </c>
      <c r="C78" s="491">
        <f t="shared" ref="C78:H78" si="13">SUM(C79:C81)</f>
        <v>0</v>
      </c>
      <c r="D78" s="491">
        <f t="shared" si="13"/>
        <v>72564</v>
      </c>
      <c r="E78" s="491">
        <f t="shared" si="13"/>
        <v>72564</v>
      </c>
      <c r="F78" s="491">
        <f t="shared" si="13"/>
        <v>72564</v>
      </c>
      <c r="G78" s="491">
        <f t="shared" si="13"/>
        <v>72564</v>
      </c>
      <c r="H78" s="491">
        <f t="shared" si="13"/>
        <v>72564</v>
      </c>
      <c r="I78" s="491">
        <f>SUM(I79:I81)</f>
        <v>8180284</v>
      </c>
    </row>
    <row r="79" spans="1:9" s="47" customFormat="1" ht="12" customHeight="1">
      <c r="A79" s="48" t="s">
        <v>340</v>
      </c>
      <c r="B79" s="49" t="s">
        <v>320</v>
      </c>
      <c r="C79" s="495"/>
      <c r="D79" s="495">
        <v>72564</v>
      </c>
      <c r="E79" s="495">
        <v>72564</v>
      </c>
      <c r="F79" s="495">
        <v>72564</v>
      </c>
      <c r="G79" s="495">
        <v>72564</v>
      </c>
      <c r="H79" s="495">
        <v>72564</v>
      </c>
      <c r="I79" s="495">
        <f>72564+8107720</f>
        <v>8180284</v>
      </c>
    </row>
    <row r="80" spans="1:9" s="47" customFormat="1" ht="12" customHeight="1">
      <c r="A80" s="51" t="s">
        <v>341</v>
      </c>
      <c r="B80" s="52" t="s">
        <v>321</v>
      </c>
      <c r="C80" s="495"/>
      <c r="D80" s="495"/>
      <c r="E80" s="495"/>
      <c r="F80" s="495"/>
      <c r="G80" s="495"/>
      <c r="H80" s="495"/>
      <c r="I80" s="495"/>
    </row>
    <row r="81" spans="1:9" s="47" customFormat="1" ht="12" customHeight="1" thickBot="1">
      <c r="A81" s="55" t="s">
        <v>342</v>
      </c>
      <c r="B81" s="56" t="s">
        <v>322</v>
      </c>
      <c r="C81" s="495"/>
      <c r="D81" s="495"/>
      <c r="E81" s="495"/>
      <c r="F81" s="495"/>
      <c r="G81" s="495"/>
      <c r="H81" s="495"/>
      <c r="I81" s="495"/>
    </row>
    <row r="82" spans="1:9" s="47" customFormat="1" ht="12" customHeight="1" thickBot="1">
      <c r="A82" s="67" t="s">
        <v>323</v>
      </c>
      <c r="B82" s="57" t="s">
        <v>343</v>
      </c>
      <c r="C82" s="491">
        <f t="shared" ref="C82:H82" si="14">SUM(C83:C86)</f>
        <v>0</v>
      </c>
      <c r="D82" s="491">
        <f t="shared" si="14"/>
        <v>0</v>
      </c>
      <c r="E82" s="491">
        <f t="shared" si="14"/>
        <v>0</v>
      </c>
      <c r="F82" s="491">
        <f t="shared" si="14"/>
        <v>0</v>
      </c>
      <c r="G82" s="491">
        <f t="shared" si="14"/>
        <v>0</v>
      </c>
      <c r="H82" s="491">
        <f t="shared" si="14"/>
        <v>0</v>
      </c>
      <c r="I82" s="491">
        <f>SUM(I83:I86)</f>
        <v>0</v>
      </c>
    </row>
    <row r="83" spans="1:9" s="47" customFormat="1" ht="12" customHeight="1">
      <c r="A83" s="69" t="s">
        <v>324</v>
      </c>
      <c r="B83" s="49" t="s">
        <v>325</v>
      </c>
      <c r="C83" s="495"/>
      <c r="D83" s="495"/>
      <c r="E83" s="495"/>
      <c r="F83" s="495"/>
      <c r="G83" s="495"/>
      <c r="H83" s="495"/>
      <c r="I83" s="495"/>
    </row>
    <row r="84" spans="1:9" s="47" customFormat="1" ht="12" customHeight="1">
      <c r="A84" s="70" t="s">
        <v>326</v>
      </c>
      <c r="B84" s="52" t="s">
        <v>327</v>
      </c>
      <c r="C84" s="495"/>
      <c r="D84" s="495"/>
      <c r="E84" s="495"/>
      <c r="F84" s="495"/>
      <c r="G84" s="495"/>
      <c r="H84" s="495"/>
      <c r="I84" s="495"/>
    </row>
    <row r="85" spans="1:9" s="47" customFormat="1" ht="12" customHeight="1">
      <c r="A85" s="70" t="s">
        <v>328</v>
      </c>
      <c r="B85" s="52" t="s">
        <v>329</v>
      </c>
      <c r="C85" s="495"/>
      <c r="D85" s="495"/>
      <c r="E85" s="495"/>
      <c r="F85" s="495"/>
      <c r="G85" s="495"/>
      <c r="H85" s="495"/>
      <c r="I85" s="495"/>
    </row>
    <row r="86" spans="1:9" s="47" customFormat="1" ht="12" customHeight="1" thickBot="1">
      <c r="A86" s="71" t="s">
        <v>330</v>
      </c>
      <c r="B86" s="56" t="s">
        <v>331</v>
      </c>
      <c r="C86" s="495"/>
      <c r="D86" s="495"/>
      <c r="E86" s="495"/>
      <c r="F86" s="495"/>
      <c r="G86" s="495"/>
      <c r="H86" s="495"/>
      <c r="I86" s="495"/>
    </row>
    <row r="87" spans="1:9" s="47" customFormat="1" ht="12" customHeight="1" thickBot="1">
      <c r="A87" s="67" t="s">
        <v>332</v>
      </c>
      <c r="B87" s="57" t="s">
        <v>473</v>
      </c>
      <c r="C87" s="501"/>
      <c r="D87" s="501"/>
      <c r="E87" s="501"/>
      <c r="F87" s="501"/>
      <c r="G87" s="501"/>
      <c r="H87" s="501"/>
      <c r="I87" s="501"/>
    </row>
    <row r="88" spans="1:9" s="47" customFormat="1" ht="13.5" customHeight="1" thickBot="1">
      <c r="A88" s="67" t="s">
        <v>334</v>
      </c>
      <c r="B88" s="57" t="s">
        <v>333</v>
      </c>
      <c r="C88" s="501"/>
      <c r="D88" s="501"/>
      <c r="E88" s="501"/>
      <c r="F88" s="501"/>
      <c r="G88" s="501"/>
      <c r="H88" s="501"/>
      <c r="I88" s="501"/>
    </row>
    <row r="89" spans="1:9" s="47" customFormat="1" ht="15.75" customHeight="1" thickBot="1">
      <c r="A89" s="67" t="s">
        <v>346</v>
      </c>
      <c r="B89" s="73" t="s">
        <v>476</v>
      </c>
      <c r="C89" s="491">
        <f t="shared" ref="C89:H89" si="15">+C66+C70+C75+C78+C82+C88+C87</f>
        <v>606054429</v>
      </c>
      <c r="D89" s="491">
        <f t="shared" si="15"/>
        <v>606126993</v>
      </c>
      <c r="E89" s="491">
        <f t="shared" si="15"/>
        <v>605776993</v>
      </c>
      <c r="F89" s="491">
        <f t="shared" si="15"/>
        <v>605776993</v>
      </c>
      <c r="G89" s="491">
        <f t="shared" si="15"/>
        <v>605786567</v>
      </c>
      <c r="H89" s="491">
        <f t="shared" si="15"/>
        <v>605786567</v>
      </c>
      <c r="I89" s="491">
        <f>+I66+I70+I75+I78+I82+I88+I87</f>
        <v>613884713</v>
      </c>
    </row>
    <row r="90" spans="1:9" s="47" customFormat="1" ht="16.5" customHeight="1" thickBot="1">
      <c r="A90" s="74" t="s">
        <v>475</v>
      </c>
      <c r="B90" s="75" t="s">
        <v>477</v>
      </c>
      <c r="C90" s="491">
        <f t="shared" ref="C90:H90" si="16">C65+C89</f>
        <v>1223597044</v>
      </c>
      <c r="D90" s="491">
        <f t="shared" si="16"/>
        <v>1227130122</v>
      </c>
      <c r="E90" s="491">
        <f t="shared" si="16"/>
        <v>1233808191</v>
      </c>
      <c r="F90" s="491">
        <f t="shared" si="16"/>
        <v>1236308191</v>
      </c>
      <c r="G90" s="491">
        <f t="shared" si="16"/>
        <v>1274053662</v>
      </c>
      <c r="H90" s="491">
        <f t="shared" si="16"/>
        <v>1303142206</v>
      </c>
      <c r="I90" s="491">
        <f>I65+I89</f>
        <v>1325184366</v>
      </c>
    </row>
    <row r="91" spans="1:9" s="47" customFormat="1" ht="83.25" customHeight="1">
      <c r="A91" s="76"/>
      <c r="B91" s="77"/>
      <c r="C91" s="578"/>
      <c r="D91" s="578"/>
      <c r="E91" s="578"/>
      <c r="F91" s="578"/>
      <c r="G91" s="578"/>
      <c r="H91" s="578"/>
      <c r="I91" s="578"/>
    </row>
    <row r="92" spans="1:9" s="36" customFormat="1" ht="16.5" customHeight="1">
      <c r="A92" s="735" t="s">
        <v>44</v>
      </c>
      <c r="B92" s="735"/>
      <c r="C92" s="286"/>
      <c r="D92" s="286"/>
      <c r="E92" s="286"/>
      <c r="F92" s="286"/>
      <c r="G92" s="286"/>
      <c r="H92" s="286"/>
      <c r="I92" s="286"/>
    </row>
    <row r="93" spans="1:9" s="80" customFormat="1" ht="16.5" customHeight="1" thickBot="1">
      <c r="A93" s="736" t="s">
        <v>145</v>
      </c>
      <c r="B93" s="736"/>
      <c r="C93" s="37" t="s">
        <v>588</v>
      </c>
      <c r="D93" s="37" t="s">
        <v>588</v>
      </c>
      <c r="E93" s="37" t="s">
        <v>588</v>
      </c>
      <c r="F93" s="37" t="s">
        <v>588</v>
      </c>
      <c r="G93" s="37" t="s">
        <v>588</v>
      </c>
      <c r="H93" s="37" t="s">
        <v>588</v>
      </c>
      <c r="I93" s="37" t="s">
        <v>588</v>
      </c>
    </row>
    <row r="94" spans="1:9" s="36" customFormat="1" ht="38.1" customHeight="1" thickBot="1">
      <c r="A94" s="38" t="s">
        <v>66</v>
      </c>
      <c r="B94" s="39" t="s">
        <v>45</v>
      </c>
      <c r="C94" s="489" t="str">
        <f t="shared" ref="C94:H94" si="17">+C6</f>
        <v>C</v>
      </c>
      <c r="D94" s="489" t="str">
        <f t="shared" si="17"/>
        <v>C</v>
      </c>
      <c r="E94" s="489" t="str">
        <f t="shared" si="17"/>
        <v>C</v>
      </c>
      <c r="F94" s="489" t="str">
        <f t="shared" si="17"/>
        <v>C</v>
      </c>
      <c r="G94" s="489" t="str">
        <f t="shared" si="17"/>
        <v>C</v>
      </c>
      <c r="H94" s="489" t="str">
        <f t="shared" si="17"/>
        <v>C</v>
      </c>
      <c r="I94" s="489" t="str">
        <f>+I6</f>
        <v>C</v>
      </c>
    </row>
    <row r="95" spans="1:9" s="43" customFormat="1" ht="12" customHeight="1" thickBot="1">
      <c r="A95" s="81" t="s">
        <v>485</v>
      </c>
      <c r="B95" s="82" t="s">
        <v>486</v>
      </c>
      <c r="C95" s="489" t="s">
        <v>488</v>
      </c>
      <c r="D95" s="489" t="s">
        <v>488</v>
      </c>
      <c r="E95" s="489" t="s">
        <v>488</v>
      </c>
      <c r="F95" s="489" t="s">
        <v>488</v>
      </c>
      <c r="G95" s="489" t="s">
        <v>488</v>
      </c>
      <c r="H95" s="489" t="s">
        <v>488</v>
      </c>
      <c r="I95" s="489" t="s">
        <v>488</v>
      </c>
    </row>
    <row r="96" spans="1:9" s="36" customFormat="1" ht="12" customHeight="1" thickBot="1">
      <c r="A96" s="84" t="s">
        <v>16</v>
      </c>
      <c r="B96" s="85" t="s">
        <v>653</v>
      </c>
      <c r="C96" s="503">
        <f t="shared" ref="C96:H96" si="18">C97+C98+C99+C100+C101+C114</f>
        <v>540903557</v>
      </c>
      <c r="D96" s="503">
        <f t="shared" si="18"/>
        <v>545100671</v>
      </c>
      <c r="E96" s="503">
        <f t="shared" si="18"/>
        <v>552254128</v>
      </c>
      <c r="F96" s="503">
        <f t="shared" si="18"/>
        <v>554754128</v>
      </c>
      <c r="G96" s="503">
        <f t="shared" si="18"/>
        <v>590024699</v>
      </c>
      <c r="H96" s="503">
        <f t="shared" si="18"/>
        <v>612307843</v>
      </c>
      <c r="I96" s="503">
        <f>I97+I98+I99+I100+I101+I114</f>
        <v>619543283</v>
      </c>
    </row>
    <row r="97" spans="1:9" s="36" customFormat="1" ht="12" customHeight="1">
      <c r="A97" s="87" t="s">
        <v>95</v>
      </c>
      <c r="B97" s="17" t="s">
        <v>46</v>
      </c>
      <c r="C97" s="505">
        <v>76128455</v>
      </c>
      <c r="D97" s="505">
        <f>76128455+652240</f>
        <v>76780695</v>
      </c>
      <c r="E97" s="505">
        <f>76780695+2595000+80625-3120000-136576</f>
        <v>76199744</v>
      </c>
      <c r="F97" s="505">
        <f>76780695+2595000+80625-3120000-136576</f>
        <v>76199744</v>
      </c>
      <c r="G97" s="505">
        <f>76199744+600000-600000+533651+489180-346778-10908+805717+3000000</f>
        <v>80670606</v>
      </c>
      <c r="H97" s="505">
        <f>80670606+600000+548400</f>
        <v>81819006</v>
      </c>
      <c r="I97" s="505">
        <f>80670606+600000+548400</f>
        <v>81819006</v>
      </c>
    </row>
    <row r="98" spans="1:9" s="36" customFormat="1" ht="12" customHeight="1">
      <c r="A98" s="51" t="s">
        <v>96</v>
      </c>
      <c r="B98" s="18" t="s">
        <v>174</v>
      </c>
      <c r="C98" s="507">
        <v>16384694</v>
      </c>
      <c r="D98" s="507">
        <f>16384694+63592</f>
        <v>16448286</v>
      </c>
      <c r="E98" s="507">
        <f>16448286+506025+27590-608400-30047</f>
        <v>16343454</v>
      </c>
      <c r="F98" s="507">
        <f>16448286+506025+27590-608400-30047</f>
        <v>16343454</v>
      </c>
      <c r="G98" s="507">
        <f>16343454+117000-117000+52030+47694-67622-2400+157115+585000</f>
        <v>17115271</v>
      </c>
      <c r="H98" s="507">
        <f>17115271+106136+106938</f>
        <v>17328345</v>
      </c>
      <c r="I98" s="507">
        <f>17115271+106136+106938</f>
        <v>17328345</v>
      </c>
    </row>
    <row r="99" spans="1:9" s="36" customFormat="1" ht="12" customHeight="1">
      <c r="A99" s="51" t="s">
        <v>97</v>
      </c>
      <c r="B99" s="18" t="s">
        <v>133</v>
      </c>
      <c r="C99" s="509">
        <v>213143994</v>
      </c>
      <c r="D99" s="509">
        <f>213143994+635000+101600</f>
        <v>213880594</v>
      </c>
      <c r="E99" s="509">
        <f>213143994+635000+101600+533400+167910+190500+34360+13694572+9032376+6502400+702474+132358+1911775+1441313</f>
        <v>248224032</v>
      </c>
      <c r="F99" s="509">
        <f>213143994+635000+101600+533400+167910+190500+34360+13694572+9032376+6502400+702474+132358+1911775+1441313</f>
        <v>248224032</v>
      </c>
      <c r="G99" s="509">
        <f>213143994+635000+101600+533400+167910+190500+34360+13694572+9032376+6502400+702474+132358+1911775+1441313-175536-375067-121089+7200000+6350000</f>
        <v>261102340</v>
      </c>
      <c r="H99" s="509">
        <f>261102340+306000+21143000+140000+2951480-400000+1056000</f>
        <v>286298820</v>
      </c>
      <c r="I99" s="509">
        <f>261102340+306000+21143000+140000+2951480-400000-230000+1056000</f>
        <v>286068820</v>
      </c>
    </row>
    <row r="100" spans="1:9" s="36" customFormat="1" ht="12" customHeight="1">
      <c r="A100" s="51" t="s">
        <v>98</v>
      </c>
      <c r="B100" s="89" t="s">
        <v>175</v>
      </c>
      <c r="C100" s="509">
        <v>9710000</v>
      </c>
      <c r="D100" s="509">
        <v>9710000</v>
      </c>
      <c r="E100" s="509">
        <v>9710000</v>
      </c>
      <c r="F100" s="509">
        <v>9710000</v>
      </c>
      <c r="G100" s="509">
        <v>9710000</v>
      </c>
      <c r="H100" s="509">
        <v>9710000</v>
      </c>
      <c r="I100" s="509">
        <v>9710000</v>
      </c>
    </row>
    <row r="101" spans="1:9" s="36" customFormat="1" ht="12" customHeight="1">
      <c r="A101" s="51" t="s">
        <v>109</v>
      </c>
      <c r="B101" s="90" t="s">
        <v>176</v>
      </c>
      <c r="C101" s="509">
        <f t="shared" ref="C101:H101" si="19">C102+C103+C104+C105+C106+C107+C108+C109+C110+C111+C112+C113</f>
        <v>151918362</v>
      </c>
      <c r="D101" s="509">
        <f t="shared" si="19"/>
        <v>155906226</v>
      </c>
      <c r="E101" s="509">
        <f t="shared" si="19"/>
        <v>156786215</v>
      </c>
      <c r="F101" s="509">
        <f t="shared" si="19"/>
        <v>159286215</v>
      </c>
      <c r="G101" s="509">
        <f t="shared" si="19"/>
        <v>159286215</v>
      </c>
      <c r="H101" s="509">
        <f t="shared" si="19"/>
        <v>163043415</v>
      </c>
      <c r="I101" s="509">
        <f>I102+I103+I104+I105+I106+I107+I108+I109+I110+I111+I112+I113</f>
        <v>162465415</v>
      </c>
    </row>
    <row r="102" spans="1:9" s="36" customFormat="1" ht="12" customHeight="1">
      <c r="A102" s="51" t="s">
        <v>99</v>
      </c>
      <c r="B102" s="18" t="s">
        <v>440</v>
      </c>
      <c r="C102" s="509"/>
      <c r="D102" s="509"/>
      <c r="E102" s="509"/>
      <c r="F102" s="509"/>
      <c r="G102" s="509"/>
      <c r="H102" s="509"/>
      <c r="I102" s="509"/>
    </row>
    <row r="103" spans="1:9" s="36" customFormat="1" ht="12" customHeight="1">
      <c r="A103" s="51" t="s">
        <v>100</v>
      </c>
      <c r="B103" s="91" t="s">
        <v>439</v>
      </c>
      <c r="C103" s="509"/>
      <c r="D103" s="509"/>
      <c r="E103" s="509"/>
      <c r="F103" s="509"/>
      <c r="G103" s="509"/>
      <c r="H103" s="509"/>
      <c r="I103" s="509"/>
    </row>
    <row r="104" spans="1:9" s="36" customFormat="1" ht="12" customHeight="1">
      <c r="A104" s="51" t="s">
        <v>110</v>
      </c>
      <c r="B104" s="91" t="s">
        <v>438</v>
      </c>
      <c r="C104" s="509">
        <v>272642</v>
      </c>
      <c r="D104" s="509">
        <v>272642</v>
      </c>
      <c r="E104" s="509">
        <v>272642</v>
      </c>
      <c r="F104" s="509">
        <v>272642</v>
      </c>
      <c r="G104" s="509">
        <v>272642</v>
      </c>
      <c r="H104" s="509">
        <f>272642+400000</f>
        <v>672642</v>
      </c>
      <c r="I104" s="509">
        <f>272642+400000</f>
        <v>672642</v>
      </c>
    </row>
    <row r="105" spans="1:9" s="36" customFormat="1" ht="12" customHeight="1">
      <c r="A105" s="51" t="s">
        <v>111</v>
      </c>
      <c r="B105" s="92" t="s">
        <v>349</v>
      </c>
      <c r="C105" s="509"/>
      <c r="D105" s="509"/>
      <c r="E105" s="509"/>
      <c r="F105" s="509"/>
      <c r="G105" s="509"/>
      <c r="H105" s="509"/>
      <c r="I105" s="509"/>
    </row>
    <row r="106" spans="1:9" s="36" customFormat="1" ht="12" customHeight="1">
      <c r="A106" s="51" t="s">
        <v>112</v>
      </c>
      <c r="B106" s="93" t="s">
        <v>350</v>
      </c>
      <c r="C106" s="509"/>
      <c r="D106" s="509"/>
      <c r="E106" s="509"/>
      <c r="F106" s="509"/>
      <c r="G106" s="509"/>
      <c r="H106" s="509"/>
      <c r="I106" s="509"/>
    </row>
    <row r="107" spans="1:9" s="36" customFormat="1" ht="12" customHeight="1">
      <c r="A107" s="51" t="s">
        <v>113</v>
      </c>
      <c r="B107" s="93" t="s">
        <v>351</v>
      </c>
      <c r="C107" s="509"/>
      <c r="D107" s="509"/>
      <c r="E107" s="509"/>
      <c r="F107" s="509"/>
      <c r="G107" s="509"/>
      <c r="H107" s="509"/>
      <c r="I107" s="509"/>
    </row>
    <row r="108" spans="1:9" s="36" customFormat="1" ht="12" customHeight="1">
      <c r="A108" s="51" t="s">
        <v>115</v>
      </c>
      <c r="B108" s="92" t="s">
        <v>352</v>
      </c>
      <c r="C108" s="509">
        <v>112674020</v>
      </c>
      <c r="D108" s="509">
        <f>112674020+3987864</f>
        <v>116661884</v>
      </c>
      <c r="E108" s="509">
        <f>112674020+3987864+1224473-374484</f>
        <v>117511873</v>
      </c>
      <c r="F108" s="509">
        <f>112674020+3987864+1224473-374484</f>
        <v>117511873</v>
      </c>
      <c r="G108" s="509">
        <f>112674020+3987864+1224473-374484</f>
        <v>117511873</v>
      </c>
      <c r="H108" s="509">
        <f>117511873+100000+3207200</f>
        <v>120819073</v>
      </c>
      <c r="I108" s="509">
        <f>117511873+100000+3207200-95000</f>
        <v>120724073</v>
      </c>
    </row>
    <row r="109" spans="1:9" s="36" customFormat="1" ht="12" customHeight="1">
      <c r="A109" s="51" t="s">
        <v>177</v>
      </c>
      <c r="B109" s="92" t="s">
        <v>353</v>
      </c>
      <c r="C109" s="509"/>
      <c r="D109" s="509"/>
      <c r="E109" s="509"/>
      <c r="F109" s="509"/>
      <c r="G109" s="509"/>
      <c r="H109" s="509"/>
      <c r="I109" s="509"/>
    </row>
    <row r="110" spans="1:9" s="36" customFormat="1" ht="12" customHeight="1">
      <c r="A110" s="51" t="s">
        <v>347</v>
      </c>
      <c r="B110" s="93" t="s">
        <v>354</v>
      </c>
      <c r="C110" s="509"/>
      <c r="D110" s="509"/>
      <c r="E110" s="509"/>
      <c r="F110" s="509"/>
      <c r="G110" s="509"/>
      <c r="H110" s="509"/>
      <c r="I110" s="509"/>
    </row>
    <row r="111" spans="1:9" s="36" customFormat="1" ht="12" customHeight="1">
      <c r="A111" s="94" t="s">
        <v>348</v>
      </c>
      <c r="B111" s="91" t="s">
        <v>355</v>
      </c>
      <c r="C111" s="509"/>
      <c r="D111" s="509"/>
      <c r="E111" s="509"/>
      <c r="F111" s="509"/>
      <c r="G111" s="509"/>
      <c r="H111" s="509"/>
      <c r="I111" s="509"/>
    </row>
    <row r="112" spans="1:9" s="36" customFormat="1" ht="12" customHeight="1">
      <c r="A112" s="51" t="s">
        <v>436</v>
      </c>
      <c r="B112" s="91" t="s">
        <v>356</v>
      </c>
      <c r="C112" s="509"/>
      <c r="D112" s="509"/>
      <c r="E112" s="509"/>
      <c r="F112" s="509"/>
      <c r="G112" s="509"/>
      <c r="H112" s="509"/>
      <c r="I112" s="509"/>
    </row>
    <row r="113" spans="1:9" s="36" customFormat="1" ht="12" customHeight="1">
      <c r="A113" s="55" t="s">
        <v>437</v>
      </c>
      <c r="B113" s="91" t="s">
        <v>357</v>
      </c>
      <c r="C113" s="509">
        <v>38971700</v>
      </c>
      <c r="D113" s="509">
        <v>38971700</v>
      </c>
      <c r="E113" s="509">
        <f>38971700+30000</f>
        <v>39001700</v>
      </c>
      <c r="F113" s="509">
        <f>38971700+30000+2500000</f>
        <v>41501700</v>
      </c>
      <c r="G113" s="509">
        <f>38971700+30000+2500000</f>
        <v>41501700</v>
      </c>
      <c r="H113" s="509">
        <f>38971700+30000+2500000+50000</f>
        <v>41551700</v>
      </c>
      <c r="I113" s="509">
        <f>38971700+30000+2500000+50000-578000+95000</f>
        <v>41068700</v>
      </c>
    </row>
    <row r="114" spans="1:9" s="36" customFormat="1" ht="12" customHeight="1">
      <c r="A114" s="51" t="s">
        <v>441</v>
      </c>
      <c r="B114" s="89" t="s">
        <v>47</v>
      </c>
      <c r="C114" s="507">
        <f t="shared" ref="C114:H114" si="20">C115+C117</f>
        <v>73618052</v>
      </c>
      <c r="D114" s="507">
        <f t="shared" si="20"/>
        <v>72374870</v>
      </c>
      <c r="E114" s="507">
        <f t="shared" si="20"/>
        <v>44990683</v>
      </c>
      <c r="F114" s="507">
        <f t="shared" si="20"/>
        <v>44990683</v>
      </c>
      <c r="G114" s="507">
        <f t="shared" si="20"/>
        <v>62140267</v>
      </c>
      <c r="H114" s="507">
        <f t="shared" si="20"/>
        <v>54108257</v>
      </c>
      <c r="I114" s="507">
        <f>I115+I117</f>
        <v>62151697</v>
      </c>
    </row>
    <row r="115" spans="1:9" s="36" customFormat="1" ht="12" customHeight="1">
      <c r="A115" s="51" t="s">
        <v>442</v>
      </c>
      <c r="B115" s="18" t="s">
        <v>444</v>
      </c>
      <c r="C115" s="507">
        <v>44412474</v>
      </c>
      <c r="D115" s="507">
        <f>44412474+105000+78540+119640+280587+241524+1919391-3987864</f>
        <v>43169292</v>
      </c>
      <c r="E115" s="507">
        <f>43169292-5717922+82824-350000-152000+187376+293730-1919391-1224473-1000000-3101025-2814800+374484-605530+782302-8986168-190500-1600000-142575-249000-150000-2774000-5000000-3086614-597073-30000</f>
        <v>5198937</v>
      </c>
      <c r="F115" s="507">
        <f>43169292-5717922+82824-350000-152000+187376+293730-1919391-1224473-1000000-3101025-2814800+374484-605530+782302-8986168-190500-1600000-142575-249000-150000-2774000-5000000-3086614-597073-30000</f>
        <v>5198937</v>
      </c>
      <c r="G115" s="507">
        <f>5198937+37000+75000+290000+962832-962832-717000+717000+585071+281066+33770000-7200000+9574+344120-6350000-1075500-10000000-3585000+18253-50000</f>
        <v>12348521</v>
      </c>
      <c r="H115" s="507">
        <f>12348521+37000-26672-100000+226143+291818+15000+130000+191640+1370000+18000000+92490+145909-50000-655338</f>
        <v>32016511</v>
      </c>
      <c r="I115" s="507">
        <f>12348521+37000-26672-100000+226143+291818+15000+191640+1370000+18000000+92490+145909-50000-655338+92494+173484+51252-141100+518310+255000+6924000+300000</f>
        <v>40059951</v>
      </c>
    </row>
    <row r="116" spans="1:9" s="36" customFormat="1" ht="12" customHeight="1">
      <c r="A116" s="51"/>
      <c r="B116" s="18" t="s">
        <v>748</v>
      </c>
      <c r="C116" s="509"/>
      <c r="D116" s="509"/>
      <c r="E116" s="509">
        <v>172212</v>
      </c>
      <c r="F116" s="509">
        <v>172212</v>
      </c>
      <c r="G116" s="509">
        <v>172212</v>
      </c>
      <c r="H116" s="509">
        <v>172212</v>
      </c>
      <c r="I116" s="509">
        <v>172212</v>
      </c>
    </row>
    <row r="117" spans="1:9" s="36" customFormat="1" ht="12" customHeight="1" thickBot="1">
      <c r="A117" s="51" t="s">
        <v>443</v>
      </c>
      <c r="B117" s="128" t="s">
        <v>445</v>
      </c>
      <c r="C117" s="511">
        <v>29205578</v>
      </c>
      <c r="D117" s="511">
        <v>29205578</v>
      </c>
      <c r="E117" s="511">
        <f>29205578+8986168+1600000</f>
        <v>39791746</v>
      </c>
      <c r="F117" s="511">
        <f>29205578+8986168+1600000</f>
        <v>39791746</v>
      </c>
      <c r="G117" s="511">
        <f>29205578+8986168+1600000+10000000</f>
        <v>49791746</v>
      </c>
      <c r="H117" s="511">
        <f>49791746-27700000</f>
        <v>22091746</v>
      </c>
      <c r="I117" s="511">
        <f>49791746-27700000</f>
        <v>22091746</v>
      </c>
    </row>
    <row r="118" spans="1:9" s="36" customFormat="1" ht="12" customHeight="1" thickBot="1">
      <c r="A118" s="44" t="s">
        <v>17</v>
      </c>
      <c r="B118" s="112" t="s">
        <v>654</v>
      </c>
      <c r="C118" s="513">
        <f t="shared" ref="C118:H118" si="21">+C119+C121+C123</f>
        <v>512825959</v>
      </c>
      <c r="D118" s="513">
        <f t="shared" si="21"/>
        <v>512089359</v>
      </c>
      <c r="E118" s="513">
        <f t="shared" si="21"/>
        <v>511379474</v>
      </c>
      <c r="F118" s="513">
        <f t="shared" si="21"/>
        <v>511379474</v>
      </c>
      <c r="G118" s="513">
        <f t="shared" si="21"/>
        <v>511429474</v>
      </c>
      <c r="H118" s="513">
        <f t="shared" si="21"/>
        <v>518379874</v>
      </c>
      <c r="I118" s="513">
        <f>+I119+I121+I123</f>
        <v>519187874</v>
      </c>
    </row>
    <row r="119" spans="1:9" s="36" customFormat="1" ht="12" customHeight="1">
      <c r="A119" s="48" t="s">
        <v>101</v>
      </c>
      <c r="B119" s="18" t="s">
        <v>219</v>
      </c>
      <c r="C119" s="515">
        <v>369875414</v>
      </c>
      <c r="D119" s="515">
        <f>369875414-635000-101600</f>
        <v>369138814</v>
      </c>
      <c r="E119" s="515">
        <f>369138814+1000000-76200-13694572-6566274+9196991-1399405+6779509-946684-2746211-1911775-1441313</f>
        <v>357332880</v>
      </c>
      <c r="F119" s="515">
        <f>369138814+1000000-76200-13694572-6566274+9196991-1399405+6779509-946684-2746211-1911775-1441313</f>
        <v>357332880</v>
      </c>
      <c r="G119" s="515">
        <f>369138814+1000000-76200-13694572-6566274+9196991-1399405+6779509-946684-2746211-1911775-1441313</f>
        <v>357332880</v>
      </c>
      <c r="H119" s="515">
        <f>357332880+533400</f>
        <v>357866280</v>
      </c>
      <c r="I119" s="515">
        <f>357332880+533400</f>
        <v>357866280</v>
      </c>
    </row>
    <row r="120" spans="1:9" s="36" customFormat="1" ht="12" customHeight="1">
      <c r="A120" s="48" t="s">
        <v>102</v>
      </c>
      <c r="B120" s="101" t="s">
        <v>361</v>
      </c>
      <c r="C120" s="515"/>
      <c r="D120" s="515"/>
      <c r="E120" s="515"/>
      <c r="F120" s="515"/>
      <c r="G120" s="515"/>
      <c r="H120" s="515"/>
      <c r="I120" s="515"/>
    </row>
    <row r="121" spans="1:9" s="36" customFormat="1" ht="12" customHeight="1">
      <c r="A121" s="48" t="s">
        <v>103</v>
      </c>
      <c r="B121" s="101" t="s">
        <v>178</v>
      </c>
      <c r="C121" s="507">
        <v>142950545</v>
      </c>
      <c r="D121" s="507">
        <v>142950545</v>
      </c>
      <c r="E121" s="507">
        <f>142950545+5717922+76200-9032376+13737230+597073</f>
        <v>154046594</v>
      </c>
      <c r="F121" s="507">
        <f>142950545+5717922+76200-9032376+13737230+597073</f>
        <v>154046594</v>
      </c>
      <c r="G121" s="507">
        <f>142950545+5717922+76200-9032376+13737230+597073</f>
        <v>154046594</v>
      </c>
      <c r="H121" s="507">
        <f>154046594+27700000-21143000-140000</f>
        <v>160463594</v>
      </c>
      <c r="I121" s="507">
        <f>154046594+27700000-21143000-140000+230000</f>
        <v>160693594</v>
      </c>
    </row>
    <row r="122" spans="1:9" s="36" customFormat="1" ht="12" customHeight="1">
      <c r="A122" s="48" t="s">
        <v>104</v>
      </c>
      <c r="B122" s="101" t="s">
        <v>362</v>
      </c>
      <c r="C122" s="516"/>
      <c r="D122" s="516"/>
      <c r="E122" s="516"/>
      <c r="F122" s="516"/>
      <c r="G122" s="516"/>
      <c r="H122" s="516"/>
      <c r="I122" s="516"/>
    </row>
    <row r="123" spans="1:9" s="36" customFormat="1" ht="12" customHeight="1">
      <c r="A123" s="48" t="s">
        <v>105</v>
      </c>
      <c r="B123" s="56" t="s">
        <v>222</v>
      </c>
      <c r="C123" s="516">
        <f t="shared" ref="C123:H123" si="22">C124+C125+C126+C127+C128+C129+C130+C131</f>
        <v>0</v>
      </c>
      <c r="D123" s="516">
        <f t="shared" si="22"/>
        <v>0</v>
      </c>
      <c r="E123" s="516">
        <f t="shared" si="22"/>
        <v>0</v>
      </c>
      <c r="F123" s="516">
        <f t="shared" si="22"/>
        <v>0</v>
      </c>
      <c r="G123" s="516">
        <f t="shared" si="22"/>
        <v>50000</v>
      </c>
      <c r="H123" s="516">
        <f t="shared" si="22"/>
        <v>50000</v>
      </c>
      <c r="I123" s="516">
        <f>I124+I125+I126+I127+I128+I129+I130+I131</f>
        <v>628000</v>
      </c>
    </row>
    <row r="124" spans="1:9" s="36" customFormat="1" ht="12" customHeight="1">
      <c r="A124" s="48" t="s">
        <v>114</v>
      </c>
      <c r="B124" s="54" t="s">
        <v>424</v>
      </c>
      <c r="C124" s="516"/>
      <c r="D124" s="516"/>
      <c r="E124" s="516"/>
      <c r="F124" s="516"/>
      <c r="G124" s="516"/>
      <c r="H124" s="516"/>
      <c r="I124" s="516"/>
    </row>
    <row r="125" spans="1:9" s="36" customFormat="1" ht="12" customHeight="1">
      <c r="A125" s="48" t="s">
        <v>116</v>
      </c>
      <c r="B125" s="103" t="s">
        <v>367</v>
      </c>
      <c r="C125" s="516"/>
      <c r="D125" s="516"/>
      <c r="E125" s="516"/>
      <c r="F125" s="516"/>
      <c r="G125" s="516"/>
      <c r="H125" s="516"/>
      <c r="I125" s="516"/>
    </row>
    <row r="126" spans="1:9" s="36" customFormat="1" ht="22.5">
      <c r="A126" s="48" t="s">
        <v>179</v>
      </c>
      <c r="B126" s="93" t="s">
        <v>351</v>
      </c>
      <c r="C126" s="516"/>
      <c r="D126" s="516"/>
      <c r="E126" s="516"/>
      <c r="F126" s="516"/>
      <c r="G126" s="516"/>
      <c r="H126" s="516"/>
      <c r="I126" s="516"/>
    </row>
    <row r="127" spans="1:9" s="36" customFormat="1" ht="12" customHeight="1">
      <c r="A127" s="48" t="s">
        <v>180</v>
      </c>
      <c r="B127" s="93" t="s">
        <v>366</v>
      </c>
      <c r="C127" s="516"/>
      <c r="D127" s="516"/>
      <c r="E127" s="516"/>
      <c r="F127" s="516"/>
      <c r="G127" s="516"/>
      <c r="H127" s="516"/>
      <c r="I127" s="516"/>
    </row>
    <row r="128" spans="1:9" s="36" customFormat="1" ht="12" customHeight="1">
      <c r="A128" s="48" t="s">
        <v>181</v>
      </c>
      <c r="B128" s="93" t="s">
        <v>365</v>
      </c>
      <c r="C128" s="516"/>
      <c r="D128" s="516"/>
      <c r="E128" s="516"/>
      <c r="F128" s="516"/>
      <c r="G128" s="516"/>
      <c r="H128" s="516"/>
      <c r="I128" s="516"/>
    </row>
    <row r="129" spans="1:9" s="36" customFormat="1" ht="12" customHeight="1">
      <c r="A129" s="48" t="s">
        <v>358</v>
      </c>
      <c r="B129" s="93" t="s">
        <v>354</v>
      </c>
      <c r="C129" s="516"/>
      <c r="D129" s="516"/>
      <c r="E129" s="516"/>
      <c r="F129" s="516"/>
      <c r="G129" s="516"/>
      <c r="H129" s="516"/>
      <c r="I129" s="516"/>
    </row>
    <row r="130" spans="1:9" s="36" customFormat="1" ht="12" customHeight="1">
      <c r="A130" s="48" t="s">
        <v>359</v>
      </c>
      <c r="B130" s="93" t="s">
        <v>364</v>
      </c>
      <c r="C130" s="516">
        <f t="shared" ref="C130:I130" si="23">2000000-2000000</f>
        <v>0</v>
      </c>
      <c r="D130" s="516">
        <f t="shared" si="23"/>
        <v>0</v>
      </c>
      <c r="E130" s="516">
        <f t="shared" si="23"/>
        <v>0</v>
      </c>
      <c r="F130" s="516">
        <f t="shared" si="23"/>
        <v>0</v>
      </c>
      <c r="G130" s="516">
        <f t="shared" si="23"/>
        <v>0</v>
      </c>
      <c r="H130" s="516">
        <f t="shared" si="23"/>
        <v>0</v>
      </c>
      <c r="I130" s="516">
        <f t="shared" si="23"/>
        <v>0</v>
      </c>
    </row>
    <row r="131" spans="1:9" s="36" customFormat="1" ht="23.25" thickBot="1">
      <c r="A131" s="94" t="s">
        <v>360</v>
      </c>
      <c r="B131" s="93" t="s">
        <v>363</v>
      </c>
      <c r="C131" s="517"/>
      <c r="D131" s="517"/>
      <c r="E131" s="517"/>
      <c r="F131" s="517"/>
      <c r="G131" s="517">
        <v>50000</v>
      </c>
      <c r="H131" s="517">
        <v>50000</v>
      </c>
      <c r="I131" s="517">
        <f>50000+578000</f>
        <v>628000</v>
      </c>
    </row>
    <row r="132" spans="1:9" s="36" customFormat="1" ht="12" customHeight="1" thickBot="1">
      <c r="A132" s="44" t="s">
        <v>18</v>
      </c>
      <c r="B132" s="21" t="s">
        <v>446</v>
      </c>
      <c r="C132" s="519">
        <f t="shared" ref="C132:H132" si="24">+C96+C118</f>
        <v>1053729516</v>
      </c>
      <c r="D132" s="519">
        <f t="shared" si="24"/>
        <v>1057190030</v>
      </c>
      <c r="E132" s="519">
        <f t="shared" si="24"/>
        <v>1063633602</v>
      </c>
      <c r="F132" s="519">
        <f t="shared" si="24"/>
        <v>1066133602</v>
      </c>
      <c r="G132" s="519">
        <f t="shared" si="24"/>
        <v>1101454173</v>
      </c>
      <c r="H132" s="519">
        <f t="shared" si="24"/>
        <v>1130687717</v>
      </c>
      <c r="I132" s="519">
        <f>+I96+I118</f>
        <v>1138731157</v>
      </c>
    </row>
    <row r="133" spans="1:9" s="36" customFormat="1" ht="12" customHeight="1" thickBot="1">
      <c r="A133" s="44" t="s">
        <v>19</v>
      </c>
      <c r="B133" s="21" t="s">
        <v>447</v>
      </c>
      <c r="C133" s="519">
        <f t="shared" ref="C133:H133" si="25">+C134+C135+C136</f>
        <v>0</v>
      </c>
      <c r="D133" s="519">
        <f t="shared" si="25"/>
        <v>0</v>
      </c>
      <c r="E133" s="519">
        <f t="shared" si="25"/>
        <v>0</v>
      </c>
      <c r="F133" s="519">
        <f t="shared" si="25"/>
        <v>0</v>
      </c>
      <c r="G133" s="519">
        <f t="shared" si="25"/>
        <v>0</v>
      </c>
      <c r="H133" s="519">
        <f t="shared" si="25"/>
        <v>0</v>
      </c>
      <c r="I133" s="519">
        <f>+I134+I135+I136</f>
        <v>0</v>
      </c>
    </row>
    <row r="134" spans="1:9" s="36" customFormat="1" ht="12" customHeight="1">
      <c r="A134" s="48" t="s">
        <v>259</v>
      </c>
      <c r="B134" s="101" t="s">
        <v>454</v>
      </c>
      <c r="C134" s="516"/>
      <c r="D134" s="516"/>
      <c r="E134" s="516"/>
      <c r="F134" s="516"/>
      <c r="G134" s="516"/>
      <c r="H134" s="516"/>
      <c r="I134" s="516"/>
    </row>
    <row r="135" spans="1:9" s="36" customFormat="1" ht="12" customHeight="1">
      <c r="A135" s="48" t="s">
        <v>262</v>
      </c>
      <c r="B135" s="101" t="s">
        <v>455</v>
      </c>
      <c r="C135" s="516"/>
      <c r="D135" s="516"/>
      <c r="E135" s="516"/>
      <c r="F135" s="516"/>
      <c r="G135" s="516"/>
      <c r="H135" s="516"/>
      <c r="I135" s="516"/>
    </row>
    <row r="136" spans="1:9" s="36" customFormat="1" ht="12" customHeight="1" thickBot="1">
      <c r="A136" s="94" t="s">
        <v>263</v>
      </c>
      <c r="B136" s="101" t="s">
        <v>456</v>
      </c>
      <c r="C136" s="516"/>
      <c r="D136" s="516"/>
      <c r="E136" s="516"/>
      <c r="F136" s="516"/>
      <c r="G136" s="516"/>
      <c r="H136" s="516"/>
      <c r="I136" s="516"/>
    </row>
    <row r="137" spans="1:9" s="36" customFormat="1" ht="12" customHeight="1" thickBot="1">
      <c r="A137" s="44" t="s">
        <v>20</v>
      </c>
      <c r="B137" s="21" t="s">
        <v>448</v>
      </c>
      <c r="C137" s="519">
        <f t="shared" ref="C137:H137" si="26">SUM(C138:C143)</f>
        <v>0</v>
      </c>
      <c r="D137" s="519">
        <f t="shared" si="26"/>
        <v>0</v>
      </c>
      <c r="E137" s="519">
        <f t="shared" si="26"/>
        <v>0</v>
      </c>
      <c r="F137" s="519">
        <f t="shared" si="26"/>
        <v>0</v>
      </c>
      <c r="G137" s="519">
        <f t="shared" si="26"/>
        <v>0</v>
      </c>
      <c r="H137" s="519">
        <f t="shared" si="26"/>
        <v>0</v>
      </c>
      <c r="I137" s="519">
        <f>SUM(I138:I143)</f>
        <v>0</v>
      </c>
    </row>
    <row r="138" spans="1:9" s="36" customFormat="1" ht="12" customHeight="1">
      <c r="A138" s="48" t="s">
        <v>88</v>
      </c>
      <c r="B138" s="20" t="s">
        <v>457</v>
      </c>
      <c r="C138" s="516"/>
      <c r="D138" s="516"/>
      <c r="E138" s="516"/>
      <c r="F138" s="516"/>
      <c r="G138" s="516"/>
      <c r="H138" s="516"/>
      <c r="I138" s="516"/>
    </row>
    <row r="139" spans="1:9" s="36" customFormat="1" ht="12" customHeight="1">
      <c r="A139" s="48" t="s">
        <v>89</v>
      </c>
      <c r="B139" s="20" t="s">
        <v>449</v>
      </c>
      <c r="C139" s="516"/>
      <c r="D139" s="516"/>
      <c r="E139" s="516"/>
      <c r="F139" s="516"/>
      <c r="G139" s="516"/>
      <c r="H139" s="516"/>
      <c r="I139" s="516"/>
    </row>
    <row r="140" spans="1:9" s="36" customFormat="1" ht="12" customHeight="1">
      <c r="A140" s="48" t="s">
        <v>90</v>
      </c>
      <c r="B140" s="20" t="s">
        <v>450</v>
      </c>
      <c r="C140" s="516"/>
      <c r="D140" s="516"/>
      <c r="E140" s="516"/>
      <c r="F140" s="516"/>
      <c r="G140" s="516"/>
      <c r="H140" s="516"/>
      <c r="I140" s="516"/>
    </row>
    <row r="141" spans="1:9" s="36" customFormat="1" ht="12" customHeight="1">
      <c r="A141" s="48" t="s">
        <v>166</v>
      </c>
      <c r="B141" s="20" t="s">
        <v>451</v>
      </c>
      <c r="C141" s="516"/>
      <c r="D141" s="516"/>
      <c r="E141" s="516"/>
      <c r="F141" s="516"/>
      <c r="G141" s="516"/>
      <c r="H141" s="516"/>
      <c r="I141" s="516"/>
    </row>
    <row r="142" spans="1:9" s="36" customFormat="1" ht="12" customHeight="1">
      <c r="A142" s="48" t="s">
        <v>167</v>
      </c>
      <c r="B142" s="20" t="s">
        <v>452</v>
      </c>
      <c r="C142" s="516"/>
      <c r="D142" s="516"/>
      <c r="E142" s="516"/>
      <c r="F142" s="516"/>
      <c r="G142" s="516"/>
      <c r="H142" s="516"/>
      <c r="I142" s="516"/>
    </row>
    <row r="143" spans="1:9" s="36" customFormat="1" ht="12" customHeight="1" thickBot="1">
      <c r="A143" s="94" t="s">
        <v>168</v>
      </c>
      <c r="B143" s="20" t="s">
        <v>453</v>
      </c>
      <c r="C143" s="516"/>
      <c r="D143" s="516"/>
      <c r="E143" s="516"/>
      <c r="F143" s="516"/>
      <c r="G143" s="516"/>
      <c r="H143" s="516"/>
      <c r="I143" s="516"/>
    </row>
    <row r="144" spans="1:9" s="36" customFormat="1" ht="12" customHeight="1" thickBot="1">
      <c r="A144" s="44" t="s">
        <v>21</v>
      </c>
      <c r="B144" s="21" t="s">
        <v>461</v>
      </c>
      <c r="C144" s="521">
        <f t="shared" ref="C144:H144" si="27">+C145+C146+C147+C148</f>
        <v>7960578</v>
      </c>
      <c r="D144" s="521">
        <f t="shared" si="27"/>
        <v>8033142</v>
      </c>
      <c r="E144" s="521">
        <f t="shared" si="27"/>
        <v>8033142</v>
      </c>
      <c r="F144" s="521">
        <f t="shared" si="27"/>
        <v>8033142</v>
      </c>
      <c r="G144" s="521">
        <f t="shared" si="27"/>
        <v>8033142</v>
      </c>
      <c r="H144" s="521">
        <f t="shared" si="27"/>
        <v>8033142</v>
      </c>
      <c r="I144" s="521">
        <f>+I145+I146+I147+I148</f>
        <v>16140862</v>
      </c>
    </row>
    <row r="145" spans="1:9" s="36" customFormat="1" ht="12" customHeight="1">
      <c r="A145" s="48" t="s">
        <v>91</v>
      </c>
      <c r="B145" s="20" t="s">
        <v>368</v>
      </c>
      <c r="C145" s="516"/>
      <c r="D145" s="516"/>
      <c r="E145" s="516"/>
      <c r="F145" s="516"/>
      <c r="G145" s="516"/>
      <c r="H145" s="516"/>
      <c r="I145" s="516"/>
    </row>
    <row r="146" spans="1:9" s="36" customFormat="1" ht="12" customHeight="1">
      <c r="A146" s="48" t="s">
        <v>92</v>
      </c>
      <c r="B146" s="20" t="s">
        <v>369</v>
      </c>
      <c r="C146" s="516">
        <v>7960578</v>
      </c>
      <c r="D146" s="516">
        <f>7960578+72564</f>
        <v>8033142</v>
      </c>
      <c r="E146" s="516">
        <f>7960578+72564</f>
        <v>8033142</v>
      </c>
      <c r="F146" s="516">
        <f>7960578+72564</f>
        <v>8033142</v>
      </c>
      <c r="G146" s="516">
        <f>7960578+72564</f>
        <v>8033142</v>
      </c>
      <c r="H146" s="516">
        <f>7960578+72564</f>
        <v>8033142</v>
      </c>
      <c r="I146" s="516">
        <f>7960578+72564+8107720</f>
        <v>16140862</v>
      </c>
    </row>
    <row r="147" spans="1:9" s="36" customFormat="1" ht="12" customHeight="1">
      <c r="A147" s="48" t="s">
        <v>283</v>
      </c>
      <c r="B147" s="20" t="s">
        <v>462</v>
      </c>
      <c r="C147" s="516"/>
      <c r="D147" s="516"/>
      <c r="E147" s="516"/>
      <c r="F147" s="516"/>
      <c r="G147" s="516"/>
      <c r="H147" s="516"/>
      <c r="I147" s="516"/>
    </row>
    <row r="148" spans="1:9" s="36" customFormat="1" ht="12" customHeight="1" thickBot="1">
      <c r="A148" s="94" t="s">
        <v>284</v>
      </c>
      <c r="B148" s="19" t="s">
        <v>388</v>
      </c>
      <c r="C148" s="516"/>
      <c r="D148" s="516"/>
      <c r="E148" s="516"/>
      <c r="F148" s="516"/>
      <c r="G148" s="516"/>
      <c r="H148" s="516"/>
      <c r="I148" s="516"/>
    </row>
    <row r="149" spans="1:9" s="36" customFormat="1" ht="12" customHeight="1" thickBot="1">
      <c r="A149" s="44" t="s">
        <v>22</v>
      </c>
      <c r="B149" s="21" t="s">
        <v>463</v>
      </c>
      <c r="C149" s="523">
        <f t="shared" ref="C149:H149" si="28">SUM(C150:C154)</f>
        <v>0</v>
      </c>
      <c r="D149" s="523">
        <f t="shared" si="28"/>
        <v>0</v>
      </c>
      <c r="E149" s="523">
        <f t="shared" si="28"/>
        <v>0</v>
      </c>
      <c r="F149" s="523">
        <f t="shared" si="28"/>
        <v>0</v>
      </c>
      <c r="G149" s="523">
        <f t="shared" si="28"/>
        <v>0</v>
      </c>
      <c r="H149" s="523">
        <f t="shared" si="28"/>
        <v>0</v>
      </c>
      <c r="I149" s="523">
        <f>SUM(I150:I154)</f>
        <v>0</v>
      </c>
    </row>
    <row r="150" spans="1:9" s="36" customFormat="1" ht="12" customHeight="1">
      <c r="A150" s="48" t="s">
        <v>93</v>
      </c>
      <c r="B150" s="20" t="s">
        <v>458</v>
      </c>
      <c r="C150" s="516"/>
      <c r="D150" s="516"/>
      <c r="E150" s="516"/>
      <c r="F150" s="516"/>
      <c r="G150" s="516"/>
      <c r="H150" s="516"/>
      <c r="I150" s="516"/>
    </row>
    <row r="151" spans="1:9" s="36" customFormat="1" ht="12" customHeight="1">
      <c r="A151" s="48" t="s">
        <v>94</v>
      </c>
      <c r="B151" s="20" t="s">
        <v>465</v>
      </c>
      <c r="C151" s="516"/>
      <c r="D151" s="516"/>
      <c r="E151" s="516"/>
      <c r="F151" s="516"/>
      <c r="G151" s="516"/>
      <c r="H151" s="516"/>
      <c r="I151" s="516"/>
    </row>
    <row r="152" spans="1:9" s="36" customFormat="1" ht="12" customHeight="1">
      <c r="A152" s="48" t="s">
        <v>295</v>
      </c>
      <c r="B152" s="20" t="s">
        <v>460</v>
      </c>
      <c r="C152" s="516"/>
      <c r="D152" s="516"/>
      <c r="E152" s="516"/>
      <c r="F152" s="516"/>
      <c r="G152" s="516"/>
      <c r="H152" s="516"/>
      <c r="I152" s="516"/>
    </row>
    <row r="153" spans="1:9" s="36" customFormat="1" ht="12" customHeight="1">
      <c r="A153" s="48" t="s">
        <v>296</v>
      </c>
      <c r="B153" s="20" t="s">
        <v>466</v>
      </c>
      <c r="C153" s="516"/>
      <c r="D153" s="516"/>
      <c r="E153" s="516"/>
      <c r="F153" s="516"/>
      <c r="G153" s="516"/>
      <c r="H153" s="516"/>
      <c r="I153" s="516"/>
    </row>
    <row r="154" spans="1:9" s="36" customFormat="1" ht="12" customHeight="1" thickBot="1">
      <c r="A154" s="48" t="s">
        <v>464</v>
      </c>
      <c r="B154" s="20" t="s">
        <v>467</v>
      </c>
      <c r="C154" s="516"/>
      <c r="D154" s="516"/>
      <c r="E154" s="516"/>
      <c r="F154" s="516"/>
      <c r="G154" s="516"/>
      <c r="H154" s="516"/>
      <c r="I154" s="516"/>
    </row>
    <row r="155" spans="1:9" s="36" customFormat="1" ht="12" customHeight="1" thickBot="1">
      <c r="A155" s="44" t="s">
        <v>23</v>
      </c>
      <c r="B155" s="21" t="s">
        <v>468</v>
      </c>
      <c r="C155" s="525"/>
      <c r="D155" s="525"/>
      <c r="E155" s="525"/>
      <c r="F155" s="525"/>
      <c r="G155" s="525"/>
      <c r="H155" s="525"/>
      <c r="I155" s="525"/>
    </row>
    <row r="156" spans="1:9" s="36" customFormat="1" ht="12" customHeight="1" thickBot="1">
      <c r="A156" s="44" t="s">
        <v>24</v>
      </c>
      <c r="B156" s="21" t="s">
        <v>543</v>
      </c>
      <c r="C156" s="525">
        <v>161906950</v>
      </c>
      <c r="D156" s="525">
        <v>161906950</v>
      </c>
      <c r="E156" s="525">
        <f>161906950+411269+605530-782302</f>
        <v>162141447</v>
      </c>
      <c r="F156" s="525">
        <f>161906950+411269+605530-782302</f>
        <v>162141447</v>
      </c>
      <c r="G156" s="525">
        <f>161906950+411269+605530-782302-290000+1099400+540000+1075500</f>
        <v>164566347</v>
      </c>
      <c r="H156" s="525">
        <f>164566347-15000-130000</f>
        <v>164421347</v>
      </c>
      <c r="I156" s="525">
        <f>164566347-15000-255000</f>
        <v>164296347</v>
      </c>
    </row>
    <row r="157" spans="1:9" s="36" customFormat="1" ht="15" customHeight="1" thickBot="1">
      <c r="A157" s="44" t="s">
        <v>25</v>
      </c>
      <c r="B157" s="21" t="s">
        <v>471</v>
      </c>
      <c r="C157" s="527">
        <f t="shared" ref="C157:H157" si="29">+C133+C137+C144+C149+C155+C156</f>
        <v>169867528</v>
      </c>
      <c r="D157" s="527">
        <f t="shared" si="29"/>
        <v>169940092</v>
      </c>
      <c r="E157" s="527">
        <f t="shared" si="29"/>
        <v>170174589</v>
      </c>
      <c r="F157" s="527">
        <f t="shared" si="29"/>
        <v>170174589</v>
      </c>
      <c r="G157" s="527">
        <f t="shared" si="29"/>
        <v>172599489</v>
      </c>
      <c r="H157" s="527">
        <f t="shared" si="29"/>
        <v>172454489</v>
      </c>
      <c r="I157" s="527">
        <f>+I133+I137+I144+I149+I155+I156</f>
        <v>180437209</v>
      </c>
    </row>
    <row r="158" spans="1:9" s="47" customFormat="1" ht="12.95" customHeight="1" thickBot="1">
      <c r="A158" s="109" t="s">
        <v>26</v>
      </c>
      <c r="B158" s="110" t="s">
        <v>470</v>
      </c>
      <c r="C158" s="527">
        <f t="shared" ref="C158:H158" si="30">C132+C157</f>
        <v>1223597044</v>
      </c>
      <c r="D158" s="527">
        <f t="shared" si="30"/>
        <v>1227130122</v>
      </c>
      <c r="E158" s="527">
        <f t="shared" si="30"/>
        <v>1233808191</v>
      </c>
      <c r="F158" s="527">
        <f t="shared" si="30"/>
        <v>1236308191</v>
      </c>
      <c r="G158" s="527">
        <f t="shared" si="30"/>
        <v>1274053662</v>
      </c>
      <c r="H158" s="527">
        <f t="shared" si="30"/>
        <v>1303142206</v>
      </c>
      <c r="I158" s="527">
        <f>I132+I157</f>
        <v>1319168366</v>
      </c>
    </row>
    <row r="159" spans="1:9" ht="13.5" thickBot="1">
      <c r="C159" s="526"/>
      <c r="D159" s="526"/>
      <c r="E159" s="526"/>
      <c r="F159" s="526"/>
      <c r="G159" s="526"/>
      <c r="H159" s="526"/>
      <c r="I159" s="526"/>
    </row>
    <row r="160" spans="1:9" s="10" customFormat="1" ht="14.25" customHeight="1" thickBot="1">
      <c r="A160" s="33" t="s">
        <v>512</v>
      </c>
      <c r="B160" s="34"/>
      <c r="C160" s="35">
        <v>16</v>
      </c>
      <c r="D160" s="35">
        <v>16</v>
      </c>
      <c r="E160" s="35">
        <f>16+4</f>
        <v>20</v>
      </c>
      <c r="F160" s="35">
        <f>16+4</f>
        <v>20</v>
      </c>
      <c r="G160" s="35">
        <f>16+4</f>
        <v>20</v>
      </c>
      <c r="H160" s="35">
        <f>16+4</f>
        <v>20</v>
      </c>
      <c r="I160" s="35">
        <f>16+4</f>
        <v>20</v>
      </c>
    </row>
    <row r="161" spans="1:9" s="10" customFormat="1" ht="13.5" thickBot="1">
      <c r="A161" s="33" t="s">
        <v>196</v>
      </c>
      <c r="B161" s="34"/>
      <c r="C161" s="35">
        <v>6</v>
      </c>
      <c r="D161" s="35">
        <v>6</v>
      </c>
      <c r="E161" s="35">
        <v>6</v>
      </c>
      <c r="F161" s="35">
        <v>6</v>
      </c>
      <c r="G161" s="35">
        <v>6</v>
      </c>
      <c r="H161" s="35">
        <v>6</v>
      </c>
      <c r="I161" s="35">
        <v>6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6" orientation="landscape" verticalDpi="300" r:id="rId1"/>
  <headerFooter alignWithMargins="0">
    <oddFooter>&amp;P. oldal, összesen: &amp;N</oddFooter>
  </headerFooter>
  <rowBreaks count="3" manualBreakCount="3">
    <brk id="65" max="16383" man="1"/>
    <brk id="91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I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31" customWidth="1"/>
    <col min="2" max="2" width="72" style="10" customWidth="1"/>
    <col min="3" max="5" width="25" style="32" customWidth="1"/>
    <col min="6" max="8" width="20.33203125" style="32" customWidth="1"/>
    <col min="9" max="9" width="20.33203125" style="32" bestFit="1" customWidth="1"/>
    <col min="10" max="16384" width="9.33203125" style="121"/>
  </cols>
  <sheetData>
    <row r="1" spans="1:9" s="113" customFormat="1" ht="16.5" customHeight="1" thickBot="1">
      <c r="A1" s="1"/>
      <c r="B1" s="114" t="s">
        <v>791</v>
      </c>
      <c r="C1" s="114"/>
      <c r="D1" s="114"/>
      <c r="E1" s="114"/>
      <c r="F1" s="114"/>
      <c r="G1" s="114"/>
      <c r="H1" s="114"/>
      <c r="I1" s="114"/>
    </row>
    <row r="2" spans="1:9" s="116" customFormat="1" ht="21" customHeight="1">
      <c r="A2" s="2" t="s">
        <v>58</v>
      </c>
      <c r="B2" s="3" t="s">
        <v>538</v>
      </c>
      <c r="C2" s="115" t="s">
        <v>51</v>
      </c>
      <c r="D2" s="115" t="s">
        <v>51</v>
      </c>
      <c r="E2" s="115" t="s">
        <v>51</v>
      </c>
      <c r="F2" s="115" t="s">
        <v>51</v>
      </c>
      <c r="G2" s="115" t="s">
        <v>51</v>
      </c>
      <c r="H2" s="115" t="s">
        <v>51</v>
      </c>
      <c r="I2" s="115" t="s">
        <v>51</v>
      </c>
    </row>
    <row r="3" spans="1:9" s="116" customFormat="1" ht="16.5" thickBot="1">
      <c r="A3" s="117" t="s">
        <v>193</v>
      </c>
      <c r="B3" s="4" t="s">
        <v>425</v>
      </c>
      <c r="C3" s="118" t="s">
        <v>56</v>
      </c>
      <c r="D3" s="118" t="s">
        <v>56</v>
      </c>
      <c r="E3" s="118" t="s">
        <v>56</v>
      </c>
      <c r="F3" s="118" t="s">
        <v>56</v>
      </c>
      <c r="G3" s="118" t="s">
        <v>56</v>
      </c>
      <c r="H3" s="118" t="s">
        <v>56</v>
      </c>
      <c r="I3" s="118" t="s">
        <v>56</v>
      </c>
    </row>
    <row r="4" spans="1:9" s="119" customFormat="1" ht="15.95" customHeight="1" thickBot="1">
      <c r="A4" s="5"/>
      <c r="B4" s="5"/>
      <c r="C4" s="6" t="s">
        <v>588</v>
      </c>
      <c r="D4" s="6" t="s">
        <v>588</v>
      </c>
      <c r="E4" s="6" t="s">
        <v>588</v>
      </c>
      <c r="F4" s="6" t="s">
        <v>588</v>
      </c>
      <c r="G4" s="6" t="s">
        <v>588</v>
      </c>
      <c r="H4" s="6" t="s">
        <v>588</v>
      </c>
      <c r="I4" s="6" t="s">
        <v>588</v>
      </c>
    </row>
    <row r="5" spans="1:9" ht="13.5" thickBot="1">
      <c r="A5" s="7" t="s">
        <v>195</v>
      </c>
      <c r="B5" s="8" t="s">
        <v>52</v>
      </c>
      <c r="C5" s="528"/>
      <c r="D5" s="528"/>
      <c r="E5" s="528"/>
      <c r="F5" s="528"/>
      <c r="G5" s="528"/>
      <c r="H5" s="528"/>
      <c r="I5" s="528"/>
    </row>
    <row r="6" spans="1:9" s="36" customFormat="1" ht="38.1" customHeight="1" thickBot="1">
      <c r="A6" s="38" t="s">
        <v>66</v>
      </c>
      <c r="B6" s="39" t="s">
        <v>15</v>
      </c>
      <c r="C6" s="120" t="s">
        <v>687</v>
      </c>
      <c r="D6" s="270" t="s">
        <v>738</v>
      </c>
      <c r="E6" s="270" t="s">
        <v>743</v>
      </c>
      <c r="F6" s="270" t="s">
        <v>758</v>
      </c>
      <c r="G6" s="270" t="s">
        <v>760</v>
      </c>
      <c r="H6" s="270" t="s">
        <v>773</v>
      </c>
      <c r="I6" s="270" t="s">
        <v>780</v>
      </c>
    </row>
    <row r="7" spans="1:9" s="43" customFormat="1" ht="12" customHeight="1" thickBot="1">
      <c r="A7" s="40" t="s">
        <v>485</v>
      </c>
      <c r="B7" s="41" t="s">
        <v>486</v>
      </c>
      <c r="C7" s="42" t="s">
        <v>487</v>
      </c>
      <c r="D7" s="42" t="s">
        <v>487</v>
      </c>
      <c r="E7" s="42" t="s">
        <v>487</v>
      </c>
      <c r="F7" s="42" t="s">
        <v>487</v>
      </c>
      <c r="G7" s="42" t="s">
        <v>487</v>
      </c>
      <c r="H7" s="42" t="s">
        <v>487</v>
      </c>
      <c r="I7" s="42" t="s">
        <v>487</v>
      </c>
    </row>
    <row r="8" spans="1:9" s="47" customFormat="1" ht="12" customHeight="1" thickBot="1">
      <c r="A8" s="44" t="s">
        <v>16</v>
      </c>
      <c r="B8" s="45" t="s">
        <v>243</v>
      </c>
      <c r="C8" s="46">
        <f t="shared" ref="C8:H8" si="0">+C9+C10+C11+C12+C13+C14</f>
        <v>218395679</v>
      </c>
      <c r="D8" s="46">
        <f t="shared" si="0"/>
        <v>218917790</v>
      </c>
      <c r="E8" s="46">
        <f t="shared" si="0"/>
        <v>217376765</v>
      </c>
      <c r="F8" s="46">
        <f t="shared" si="0"/>
        <v>239578465</v>
      </c>
      <c r="G8" s="46">
        <f t="shared" si="0"/>
        <v>240984602</v>
      </c>
      <c r="H8" s="46">
        <f t="shared" si="0"/>
        <v>249147282</v>
      </c>
      <c r="I8" s="46">
        <f>+I9+I10+I11+I12+I13+I14</f>
        <v>249841722</v>
      </c>
    </row>
    <row r="9" spans="1:9" s="47" customFormat="1" ht="12" customHeight="1">
      <c r="A9" s="48" t="s">
        <v>95</v>
      </c>
      <c r="B9" s="49" t="s">
        <v>244</v>
      </c>
      <c r="C9" s="50">
        <v>117822978</v>
      </c>
      <c r="D9" s="50">
        <v>117822978</v>
      </c>
      <c r="E9" s="50">
        <v>117822978</v>
      </c>
      <c r="F9" s="50">
        <v>117822978</v>
      </c>
      <c r="G9" s="50">
        <v>117822978</v>
      </c>
      <c r="H9" s="50">
        <v>117822978</v>
      </c>
      <c r="I9" s="50">
        <f>117822978+173484</f>
        <v>117996462</v>
      </c>
    </row>
    <row r="10" spans="1:9" s="47" customFormat="1" ht="12" customHeight="1">
      <c r="A10" s="51" t="s">
        <v>96</v>
      </c>
      <c r="B10" s="52" t="s">
        <v>245</v>
      </c>
      <c r="C10" s="53">
        <v>56900500</v>
      </c>
      <c r="D10" s="53">
        <v>56900500</v>
      </c>
      <c r="E10" s="53">
        <f>56900500-2814800</f>
        <v>54085700</v>
      </c>
      <c r="F10" s="53">
        <f>56900500-2814800</f>
        <v>54085700</v>
      </c>
      <c r="G10" s="53">
        <f>56900500-2814800</f>
        <v>54085700</v>
      </c>
      <c r="H10" s="53">
        <f>56900500-2814800+3207200</f>
        <v>57292900</v>
      </c>
      <c r="I10" s="53">
        <f>56900500-2814800+3207200</f>
        <v>57292900</v>
      </c>
    </row>
    <row r="11" spans="1:9" s="47" customFormat="1" ht="12" customHeight="1">
      <c r="A11" s="51" t="s">
        <v>97</v>
      </c>
      <c r="B11" s="52" t="s">
        <v>246</v>
      </c>
      <c r="C11" s="53">
        <v>40194081</v>
      </c>
      <c r="D11" s="53">
        <v>40194081</v>
      </c>
      <c r="E11" s="53">
        <f>40194081-152000</f>
        <v>40042081</v>
      </c>
      <c r="F11" s="53">
        <f>40194081-152000</f>
        <v>40042081</v>
      </c>
      <c r="G11" s="53">
        <f>40194081-152000</f>
        <v>40042081</v>
      </c>
      <c r="H11" s="53">
        <f>40194081-152000+191640</f>
        <v>40233721</v>
      </c>
      <c r="I11" s="53">
        <f>40194081-152000+191640+518310</f>
        <v>40752031</v>
      </c>
    </row>
    <row r="12" spans="1:9" s="47" customFormat="1" ht="12" customHeight="1">
      <c r="A12" s="51" t="s">
        <v>98</v>
      </c>
      <c r="B12" s="52" t="s">
        <v>247</v>
      </c>
      <c r="C12" s="53">
        <v>3063720</v>
      </c>
      <c r="D12" s="53">
        <f>3063720+280587</f>
        <v>3344307</v>
      </c>
      <c r="E12" s="53">
        <f>3063720+280587+411269+187376</f>
        <v>3942952</v>
      </c>
      <c r="F12" s="53">
        <f>3063720+280587+411269+187376</f>
        <v>3942952</v>
      </c>
      <c r="G12" s="53">
        <f>3063720+280587+411269+187376+281066</f>
        <v>4224018</v>
      </c>
      <c r="H12" s="53">
        <f>3063720+280587+411269+187376+281066+226143+92490</f>
        <v>4542651</v>
      </c>
      <c r="I12" s="53">
        <f>3063720+280587+411269+187376+281066+226143+92490+92494</f>
        <v>4635145</v>
      </c>
    </row>
    <row r="13" spans="1:9" s="47" customFormat="1" ht="12" customHeight="1">
      <c r="A13" s="51" t="s">
        <v>141</v>
      </c>
      <c r="B13" s="54" t="s">
        <v>428</v>
      </c>
      <c r="C13" s="53">
        <v>414400</v>
      </c>
      <c r="D13" s="53">
        <f>414400+241524</f>
        <v>655924</v>
      </c>
      <c r="E13" s="53">
        <f>414400+241524+533400+293730</f>
        <v>1483054</v>
      </c>
      <c r="F13" s="53">
        <f>414400+241524+533400+293730+19701700+2500000</f>
        <v>23684754</v>
      </c>
      <c r="G13" s="53">
        <f>414400+241524+533400+293730+19701700+2500000+585071+540000</f>
        <v>24809825</v>
      </c>
      <c r="H13" s="53">
        <f>414400+241524+533400+293730+19701700+2500000+585071+540000+291818+2951480+145909+1056000</f>
        <v>29255032</v>
      </c>
      <c r="I13" s="53">
        <f>414400+241524+533400+293730+19701700+2500000+585071+540000+291818+2951480+145909+51252-141100+1056000</f>
        <v>29165184</v>
      </c>
    </row>
    <row r="14" spans="1:9" s="47" customFormat="1" ht="12" customHeight="1" thickBot="1">
      <c r="A14" s="55" t="s">
        <v>99</v>
      </c>
      <c r="B14" s="56" t="s">
        <v>429</v>
      </c>
      <c r="C14" s="53"/>
      <c r="D14" s="53"/>
      <c r="E14" s="53"/>
      <c r="F14" s="53"/>
      <c r="G14" s="53"/>
      <c r="H14" s="53"/>
      <c r="I14" s="53"/>
    </row>
    <row r="15" spans="1:9" s="47" customFormat="1" ht="12" customHeight="1" thickBot="1">
      <c r="A15" s="44" t="s">
        <v>17</v>
      </c>
      <c r="B15" s="57" t="s">
        <v>248</v>
      </c>
      <c r="C15" s="46">
        <f t="shared" ref="C15:H15" si="1">+C16+C17+C18+C19+C20</f>
        <v>73241871</v>
      </c>
      <c r="D15" s="46">
        <f t="shared" si="1"/>
        <v>76180274</v>
      </c>
      <c r="E15" s="46">
        <f t="shared" si="1"/>
        <v>77080192</v>
      </c>
      <c r="F15" s="46">
        <f t="shared" si="1"/>
        <v>57378492</v>
      </c>
      <c r="G15" s="46">
        <f t="shared" si="1"/>
        <v>59938252</v>
      </c>
      <c r="H15" s="46">
        <f t="shared" si="1"/>
        <v>60987388</v>
      </c>
      <c r="I15" s="46">
        <f>+I16+I17+I18+I19+I20</f>
        <v>60987388</v>
      </c>
    </row>
    <row r="16" spans="1:9" s="47" customFormat="1" ht="12" customHeight="1">
      <c r="A16" s="48" t="s">
        <v>101</v>
      </c>
      <c r="B16" s="49" t="s">
        <v>249</v>
      </c>
      <c r="C16" s="50"/>
      <c r="D16" s="50"/>
      <c r="E16" s="50"/>
      <c r="F16" s="50"/>
      <c r="G16" s="50"/>
      <c r="H16" s="50"/>
      <c r="I16" s="50"/>
    </row>
    <row r="17" spans="1:9" s="47" customFormat="1" ht="12" customHeight="1">
      <c r="A17" s="51" t="s">
        <v>102</v>
      </c>
      <c r="B17" s="52" t="s">
        <v>250</v>
      </c>
      <c r="C17" s="53"/>
      <c r="D17" s="53"/>
      <c r="E17" s="53"/>
      <c r="F17" s="53"/>
      <c r="G17" s="53"/>
      <c r="H17" s="53"/>
      <c r="I17" s="53"/>
    </row>
    <row r="18" spans="1:9" s="47" customFormat="1" ht="12" customHeight="1">
      <c r="A18" s="51" t="s">
        <v>103</v>
      </c>
      <c r="B18" s="52" t="s">
        <v>418</v>
      </c>
      <c r="C18" s="53"/>
      <c r="D18" s="53"/>
      <c r="E18" s="53"/>
      <c r="F18" s="53"/>
      <c r="G18" s="53"/>
      <c r="H18" s="53"/>
      <c r="I18" s="53"/>
    </row>
    <row r="19" spans="1:9" s="47" customFormat="1" ht="12" customHeight="1">
      <c r="A19" s="51" t="s">
        <v>104</v>
      </c>
      <c r="B19" s="52" t="s">
        <v>419</v>
      </c>
      <c r="C19" s="53"/>
      <c r="D19" s="53"/>
      <c r="E19" s="53"/>
      <c r="F19" s="53"/>
      <c r="G19" s="53"/>
      <c r="H19" s="53"/>
      <c r="I19" s="53"/>
    </row>
    <row r="20" spans="1:9" s="47" customFormat="1" ht="12" customHeight="1">
      <c r="A20" s="51" t="s">
        <v>105</v>
      </c>
      <c r="B20" s="52" t="s">
        <v>251</v>
      </c>
      <c r="C20" s="53">
        <v>73241871</v>
      </c>
      <c r="D20" s="53">
        <f>73241871+105000+715832+78540+119640+1919391</f>
        <v>76180274</v>
      </c>
      <c r="E20" s="53">
        <f>73241871+105000+715832+78540+119640+1919391-1919391+2706807+112502</f>
        <v>77080192</v>
      </c>
      <c r="F20" s="53">
        <f>73241871+105000+715832+78540+119640+1919391-1919391+2706807+112502-19701700</f>
        <v>57378492</v>
      </c>
      <c r="G20" s="53">
        <f>57378492+37000+75000+962832+585681+536874-22400+366520+18253</f>
        <v>59938252</v>
      </c>
      <c r="H20" s="53">
        <f>59938252+306000+37000+706136</f>
        <v>60987388</v>
      </c>
      <c r="I20" s="53">
        <f>59938252+306000+37000+706136</f>
        <v>60987388</v>
      </c>
    </row>
    <row r="21" spans="1:9" s="47" customFormat="1" ht="12" customHeight="1" thickBot="1">
      <c r="A21" s="55" t="s">
        <v>114</v>
      </c>
      <c r="B21" s="56" t="s">
        <v>252</v>
      </c>
      <c r="C21" s="58"/>
      <c r="D21" s="58"/>
      <c r="E21" s="58"/>
      <c r="F21" s="58"/>
      <c r="G21" s="58"/>
      <c r="H21" s="58"/>
      <c r="I21" s="58"/>
    </row>
    <row r="22" spans="1:9" s="47" customFormat="1" ht="12" customHeight="1" thickBot="1">
      <c r="A22" s="44" t="s">
        <v>18</v>
      </c>
      <c r="B22" s="45" t="s">
        <v>253</v>
      </c>
      <c r="C22" s="46">
        <f t="shared" ref="C22:H22" si="2">+C23+C24+C25+C26+C27</f>
        <v>55972518</v>
      </c>
      <c r="D22" s="46">
        <f t="shared" si="2"/>
        <v>55972518</v>
      </c>
      <c r="E22" s="46">
        <f t="shared" si="2"/>
        <v>63789960</v>
      </c>
      <c r="F22" s="46">
        <f t="shared" si="2"/>
        <v>63789960</v>
      </c>
      <c r="G22" s="46">
        <f t="shared" si="2"/>
        <v>63789960</v>
      </c>
      <c r="H22" s="46">
        <f t="shared" si="2"/>
        <v>64296688</v>
      </c>
      <c r="I22" s="46">
        <f>+I23+I24+I25+I26+I27</f>
        <v>64296688</v>
      </c>
    </row>
    <row r="23" spans="1:9" s="47" customFormat="1" ht="12" customHeight="1">
      <c r="A23" s="48" t="s">
        <v>84</v>
      </c>
      <c r="B23" s="49" t="s">
        <v>254</v>
      </c>
      <c r="C23" s="50"/>
      <c r="D23" s="50"/>
      <c r="E23" s="50"/>
      <c r="F23" s="50"/>
      <c r="G23" s="50"/>
      <c r="H23" s="50">
        <f>506728</f>
        <v>506728</v>
      </c>
      <c r="I23" s="50">
        <f>506728</f>
        <v>506728</v>
      </c>
    </row>
    <row r="24" spans="1:9" s="47" customFormat="1" ht="12" customHeight="1">
      <c r="A24" s="51" t="s">
        <v>85</v>
      </c>
      <c r="B24" s="52" t="s">
        <v>255</v>
      </c>
      <c r="C24" s="53"/>
      <c r="D24" s="53"/>
      <c r="E24" s="53"/>
      <c r="F24" s="53"/>
      <c r="G24" s="53"/>
      <c r="H24" s="53"/>
      <c r="I24" s="53"/>
    </row>
    <row r="25" spans="1:9" s="47" customFormat="1" ht="12" customHeight="1">
      <c r="A25" s="51" t="s">
        <v>86</v>
      </c>
      <c r="B25" s="52" t="s">
        <v>420</v>
      </c>
      <c r="C25" s="53"/>
      <c r="D25" s="53"/>
      <c r="E25" s="53"/>
      <c r="F25" s="53"/>
      <c r="G25" s="53"/>
      <c r="H25" s="53"/>
      <c r="I25" s="53"/>
    </row>
    <row r="26" spans="1:9" s="47" customFormat="1" ht="12" customHeight="1">
      <c r="A26" s="51" t="s">
        <v>87</v>
      </c>
      <c r="B26" s="52" t="s">
        <v>421</v>
      </c>
      <c r="C26" s="53"/>
      <c r="D26" s="53"/>
      <c r="E26" s="53"/>
      <c r="F26" s="53"/>
      <c r="G26" s="53"/>
      <c r="H26" s="53"/>
      <c r="I26" s="53"/>
    </row>
    <row r="27" spans="1:9" s="47" customFormat="1" ht="12" customHeight="1">
      <c r="A27" s="51" t="s">
        <v>162</v>
      </c>
      <c r="B27" s="52" t="s">
        <v>256</v>
      </c>
      <c r="C27" s="53">
        <v>55972518</v>
      </c>
      <c r="D27" s="53">
        <v>55972518</v>
      </c>
      <c r="E27" s="53">
        <f>55972518+7817442</f>
        <v>63789960</v>
      </c>
      <c r="F27" s="53">
        <f>55972518+7817442</f>
        <v>63789960</v>
      </c>
      <c r="G27" s="53">
        <f>55972518+7817442</f>
        <v>63789960</v>
      </c>
      <c r="H27" s="53">
        <f>55972518+7817442</f>
        <v>63789960</v>
      </c>
      <c r="I27" s="53">
        <f>55972518+7817442</f>
        <v>63789960</v>
      </c>
    </row>
    <row r="28" spans="1:9" s="47" customFormat="1" ht="12" customHeight="1" thickBot="1">
      <c r="A28" s="55" t="s">
        <v>163</v>
      </c>
      <c r="B28" s="59" t="s">
        <v>257</v>
      </c>
      <c r="C28" s="58"/>
      <c r="D28" s="58"/>
      <c r="E28" s="58"/>
      <c r="F28" s="58"/>
      <c r="G28" s="58"/>
      <c r="H28" s="58"/>
      <c r="I28" s="58"/>
    </row>
    <row r="29" spans="1:9" s="47" customFormat="1" ht="12" customHeight="1" thickBot="1">
      <c r="A29" s="44" t="s">
        <v>164</v>
      </c>
      <c r="B29" s="45" t="s">
        <v>258</v>
      </c>
      <c r="C29" s="60">
        <f t="shared" ref="C29:H29" si="3">+C30+C34+C35+C36</f>
        <v>129930000</v>
      </c>
      <c r="D29" s="60">
        <f t="shared" si="3"/>
        <v>129930000</v>
      </c>
      <c r="E29" s="60">
        <f t="shared" si="3"/>
        <v>129930000</v>
      </c>
      <c r="F29" s="60">
        <f t="shared" si="3"/>
        <v>129930000</v>
      </c>
      <c r="G29" s="60">
        <f t="shared" si="3"/>
        <v>129930000</v>
      </c>
      <c r="H29" s="60">
        <f t="shared" si="3"/>
        <v>147930000</v>
      </c>
      <c r="I29" s="60">
        <f>+I30+I34+I35+I36</f>
        <v>157858000</v>
      </c>
    </row>
    <row r="30" spans="1:9" s="47" customFormat="1" ht="12" customHeight="1">
      <c r="A30" s="48" t="s">
        <v>259</v>
      </c>
      <c r="B30" s="124" t="s">
        <v>435</v>
      </c>
      <c r="C30" s="61">
        <f t="shared" ref="C30:H30" si="4">+C31+C32+C33</f>
        <v>94400000</v>
      </c>
      <c r="D30" s="61">
        <f t="shared" si="4"/>
        <v>94400000</v>
      </c>
      <c r="E30" s="61">
        <f t="shared" si="4"/>
        <v>94400000</v>
      </c>
      <c r="F30" s="61">
        <f t="shared" si="4"/>
        <v>94400000</v>
      </c>
      <c r="G30" s="61">
        <f t="shared" si="4"/>
        <v>94400000</v>
      </c>
      <c r="H30" s="61">
        <f t="shared" si="4"/>
        <v>106400000</v>
      </c>
      <c r="I30" s="61">
        <f>+I31+I32+I33</f>
        <v>114650000</v>
      </c>
    </row>
    <row r="31" spans="1:9" s="47" customFormat="1" ht="12" customHeight="1">
      <c r="A31" s="51" t="s">
        <v>260</v>
      </c>
      <c r="B31" s="125" t="s">
        <v>603</v>
      </c>
      <c r="C31" s="53">
        <v>56400000</v>
      </c>
      <c r="D31" s="53">
        <v>56400000</v>
      </c>
      <c r="E31" s="53">
        <v>56400000</v>
      </c>
      <c r="F31" s="53">
        <v>56400000</v>
      </c>
      <c r="G31" s="53">
        <v>56400000</v>
      </c>
      <c r="H31" s="53">
        <f>56400000+5000000</f>
        <v>61400000</v>
      </c>
      <c r="I31" s="53">
        <f>56400000+5000000+500000</f>
        <v>61900000</v>
      </c>
    </row>
    <row r="32" spans="1:9" s="47" customFormat="1" ht="12" customHeight="1">
      <c r="A32" s="51" t="s">
        <v>261</v>
      </c>
      <c r="B32" s="125" t="s">
        <v>604</v>
      </c>
      <c r="C32" s="53"/>
      <c r="D32" s="53"/>
      <c r="E32" s="53"/>
      <c r="F32" s="53"/>
      <c r="G32" s="53"/>
      <c r="H32" s="53"/>
      <c r="I32" s="53"/>
    </row>
    <row r="33" spans="1:9" s="47" customFormat="1" ht="12" customHeight="1">
      <c r="A33" s="51" t="s">
        <v>433</v>
      </c>
      <c r="B33" s="126" t="s">
        <v>434</v>
      </c>
      <c r="C33" s="53">
        <v>38000000</v>
      </c>
      <c r="D33" s="53">
        <v>38000000</v>
      </c>
      <c r="E33" s="53">
        <v>38000000</v>
      </c>
      <c r="F33" s="53">
        <v>38000000</v>
      </c>
      <c r="G33" s="53">
        <v>38000000</v>
      </c>
      <c r="H33" s="53">
        <f>38000000+7000000</f>
        <v>45000000</v>
      </c>
      <c r="I33" s="53">
        <f>38000000+7000000+5000000+250000+2500000</f>
        <v>52750000</v>
      </c>
    </row>
    <row r="34" spans="1:9" s="47" customFormat="1" ht="12" customHeight="1">
      <c r="A34" s="51" t="s">
        <v>262</v>
      </c>
      <c r="B34" s="125" t="s">
        <v>267</v>
      </c>
      <c r="C34" s="53">
        <v>7400000</v>
      </c>
      <c r="D34" s="53">
        <v>7400000</v>
      </c>
      <c r="E34" s="53">
        <v>7400000</v>
      </c>
      <c r="F34" s="53">
        <v>7400000</v>
      </c>
      <c r="G34" s="53">
        <v>7400000</v>
      </c>
      <c r="H34" s="53">
        <f>7400000+3000000</f>
        <v>10400000</v>
      </c>
      <c r="I34" s="53">
        <f>7400000+3000000+500000</f>
        <v>10900000</v>
      </c>
    </row>
    <row r="35" spans="1:9" s="47" customFormat="1" ht="12" customHeight="1">
      <c r="A35" s="51" t="s">
        <v>263</v>
      </c>
      <c r="B35" s="125" t="s">
        <v>581</v>
      </c>
      <c r="C35" s="53">
        <v>27500000</v>
      </c>
      <c r="D35" s="53">
        <v>27500000</v>
      </c>
      <c r="E35" s="53">
        <v>27500000</v>
      </c>
      <c r="F35" s="53">
        <v>27500000</v>
      </c>
      <c r="G35" s="53">
        <v>27500000</v>
      </c>
      <c r="H35" s="53">
        <f>27500000+2500000</f>
        <v>30000000</v>
      </c>
      <c r="I35" s="53">
        <f>27500000+2500000+410000+420000</f>
        <v>30830000</v>
      </c>
    </row>
    <row r="36" spans="1:9" s="47" customFormat="1" ht="12" customHeight="1" thickBot="1">
      <c r="A36" s="55" t="s">
        <v>264</v>
      </c>
      <c r="B36" s="127" t="s">
        <v>269</v>
      </c>
      <c r="C36" s="58">
        <v>630000</v>
      </c>
      <c r="D36" s="58">
        <v>630000</v>
      </c>
      <c r="E36" s="58">
        <v>630000</v>
      </c>
      <c r="F36" s="58">
        <v>630000</v>
      </c>
      <c r="G36" s="58">
        <v>630000</v>
      </c>
      <c r="H36" s="58">
        <f>630000+500000</f>
        <v>1130000</v>
      </c>
      <c r="I36" s="58">
        <f>630000+500000+88000+50000+210000</f>
        <v>1478000</v>
      </c>
    </row>
    <row r="37" spans="1:9" s="47" customFormat="1" ht="12" customHeight="1" thickBot="1">
      <c r="A37" s="44" t="s">
        <v>20</v>
      </c>
      <c r="B37" s="45" t="s">
        <v>430</v>
      </c>
      <c r="C37" s="46">
        <f t="shared" ref="C37:H37" si="5">SUM(C38:C48)</f>
        <v>41106365</v>
      </c>
      <c r="D37" s="46">
        <f t="shared" si="5"/>
        <v>41106365</v>
      </c>
      <c r="E37" s="46">
        <f t="shared" si="5"/>
        <v>32386354</v>
      </c>
      <c r="F37" s="46">
        <f t="shared" si="5"/>
        <v>32386354</v>
      </c>
      <c r="G37" s="46">
        <f t="shared" si="5"/>
        <v>51643522</v>
      </c>
      <c r="H37" s="46">
        <f t="shared" si="5"/>
        <v>55562412</v>
      </c>
      <c r="I37" s="46">
        <f>SUM(I38:I48)</f>
        <v>58768412</v>
      </c>
    </row>
    <row r="38" spans="1:9" s="47" customFormat="1" ht="12" customHeight="1">
      <c r="A38" s="48" t="s">
        <v>88</v>
      </c>
      <c r="B38" s="49" t="s">
        <v>272</v>
      </c>
      <c r="C38" s="50"/>
      <c r="D38" s="50"/>
      <c r="E38" s="50"/>
      <c r="F38" s="50"/>
      <c r="G38" s="50"/>
      <c r="H38" s="50"/>
      <c r="I38" s="50"/>
    </row>
    <row r="39" spans="1:9" s="47" customFormat="1" ht="12" customHeight="1">
      <c r="A39" s="51" t="s">
        <v>89</v>
      </c>
      <c r="B39" s="52" t="s">
        <v>273</v>
      </c>
      <c r="C39" s="53">
        <f>94800709-79573589</f>
        <v>15227120</v>
      </c>
      <c r="D39" s="53">
        <f>94800709-79573589</f>
        <v>15227120</v>
      </c>
      <c r="E39" s="53">
        <f>94800709-79573589+132213-2441752-787402-150000-196063-118110-2184252-1186000</f>
        <v>8295754</v>
      </c>
      <c r="F39" s="53">
        <f>94800709-79573589+132213-2441752-787402-150000-196063-118110-2184252-1186000</f>
        <v>8295754</v>
      </c>
      <c r="G39" s="53">
        <f>8295754+26500000-6350000-962832</f>
        <v>27482922</v>
      </c>
      <c r="H39" s="53">
        <f>8295754+26500000-6350000-962832+1913890+1000000+635000</f>
        <v>31031812</v>
      </c>
      <c r="I39" s="53">
        <f>8295754+26500000-6350000-962832+1913890+1000000+635000+780000+1200000</f>
        <v>33011812</v>
      </c>
    </row>
    <row r="40" spans="1:9" s="47" customFormat="1" ht="12" customHeight="1">
      <c r="A40" s="51" t="s">
        <v>90</v>
      </c>
      <c r="B40" s="52" t="s">
        <v>274</v>
      </c>
      <c r="C40" s="53">
        <v>2400000</v>
      </c>
      <c r="D40" s="53">
        <v>2400000</v>
      </c>
      <c r="E40" s="53">
        <v>2400000</v>
      </c>
      <c r="F40" s="53">
        <v>2400000</v>
      </c>
      <c r="G40" s="53">
        <v>2400000</v>
      </c>
      <c r="H40" s="53">
        <v>2400000</v>
      </c>
      <c r="I40" s="53">
        <f>2400000+40000+200000</f>
        <v>2640000</v>
      </c>
    </row>
    <row r="41" spans="1:9" s="47" customFormat="1" ht="12" customHeight="1">
      <c r="A41" s="51" t="s">
        <v>166</v>
      </c>
      <c r="B41" s="52" t="s">
        <v>275</v>
      </c>
      <c r="C41" s="53"/>
      <c r="D41" s="53"/>
      <c r="E41" s="53"/>
      <c r="F41" s="53"/>
      <c r="G41" s="53"/>
      <c r="H41" s="53"/>
      <c r="I41" s="53"/>
    </row>
    <row r="42" spans="1:9" s="47" customFormat="1" ht="12" customHeight="1">
      <c r="A42" s="51" t="s">
        <v>167</v>
      </c>
      <c r="B42" s="52" t="s">
        <v>276</v>
      </c>
      <c r="C42" s="53">
        <v>1500000</v>
      </c>
      <c r="D42" s="53">
        <v>1500000</v>
      </c>
      <c r="E42" s="53">
        <v>1500000</v>
      </c>
      <c r="F42" s="53">
        <v>1500000</v>
      </c>
      <c r="G42" s="53">
        <v>1500000</v>
      </c>
      <c r="H42" s="53">
        <f>1500000+300000</f>
        <v>1800000</v>
      </c>
      <c r="I42" s="53">
        <f>1500000+300000+35000</f>
        <v>1835000</v>
      </c>
    </row>
    <row r="43" spans="1:9" s="47" customFormat="1" ht="12" customHeight="1">
      <c r="A43" s="51" t="s">
        <v>168</v>
      </c>
      <c r="B43" s="52" t="s">
        <v>277</v>
      </c>
      <c r="C43" s="53">
        <f>26748983-21484869+2282276</f>
        <v>7546390</v>
      </c>
      <c r="D43" s="53">
        <f>26748983-21484869+2282276</f>
        <v>7546390</v>
      </c>
      <c r="E43" s="53">
        <f>26748983-21484869+2282276+35697-659273-212598-40500-52937-31890-589748-320220</f>
        <v>5674921</v>
      </c>
      <c r="F43" s="53">
        <f>26748983-21484869+2282276+35697-659273-212598-40500-52937-31890-589748-320220</f>
        <v>5674921</v>
      </c>
      <c r="G43" s="53">
        <f>5674921+7200000-7200000</f>
        <v>5674921</v>
      </c>
      <c r="H43" s="53">
        <f>5674921+7200000-7200000</f>
        <v>5674921</v>
      </c>
      <c r="I43" s="53">
        <f>5674921+7200000-7200000+530000+380000</f>
        <v>6584921</v>
      </c>
    </row>
    <row r="44" spans="1:9" s="47" customFormat="1" ht="12" customHeight="1">
      <c r="A44" s="51" t="s">
        <v>169</v>
      </c>
      <c r="B44" s="52" t="s">
        <v>278</v>
      </c>
      <c r="C44" s="53">
        <v>14000000</v>
      </c>
      <c r="D44" s="53">
        <v>14000000</v>
      </c>
      <c r="E44" s="53">
        <v>14000000</v>
      </c>
      <c r="F44" s="53">
        <v>14000000</v>
      </c>
      <c r="G44" s="53">
        <v>14000000</v>
      </c>
      <c r="H44" s="53">
        <v>14000000</v>
      </c>
      <c r="I44" s="53">
        <v>14000000</v>
      </c>
    </row>
    <row r="45" spans="1:9" s="47" customFormat="1" ht="12" customHeight="1">
      <c r="A45" s="51" t="s">
        <v>170</v>
      </c>
      <c r="B45" s="52" t="s">
        <v>279</v>
      </c>
      <c r="C45" s="53">
        <v>20000</v>
      </c>
      <c r="D45" s="53">
        <v>20000</v>
      </c>
      <c r="E45" s="53">
        <v>20000</v>
      </c>
      <c r="F45" s="53">
        <v>20000</v>
      </c>
      <c r="G45" s="53">
        <v>20000</v>
      </c>
      <c r="H45" s="53">
        <v>20000</v>
      </c>
      <c r="I45" s="53">
        <v>20000</v>
      </c>
    </row>
    <row r="46" spans="1:9" s="47" customFormat="1" ht="12" customHeight="1">
      <c r="A46" s="51" t="s">
        <v>270</v>
      </c>
      <c r="B46" s="52" t="s">
        <v>280</v>
      </c>
      <c r="C46" s="63"/>
      <c r="D46" s="63"/>
      <c r="E46" s="63"/>
      <c r="F46" s="63"/>
      <c r="G46" s="63"/>
      <c r="H46" s="63"/>
      <c r="I46" s="63"/>
    </row>
    <row r="47" spans="1:9" s="47" customFormat="1" ht="12" customHeight="1">
      <c r="A47" s="55" t="s">
        <v>271</v>
      </c>
      <c r="B47" s="59" t="s">
        <v>432</v>
      </c>
      <c r="C47" s="64"/>
      <c r="D47" s="64"/>
      <c r="E47" s="64"/>
      <c r="F47" s="64"/>
      <c r="G47" s="64"/>
      <c r="H47" s="64"/>
      <c r="I47" s="64"/>
    </row>
    <row r="48" spans="1:9" s="47" customFormat="1" ht="12" customHeight="1" thickBot="1">
      <c r="A48" s="55" t="s">
        <v>431</v>
      </c>
      <c r="B48" s="56" t="s">
        <v>281</v>
      </c>
      <c r="C48" s="64">
        <v>412855</v>
      </c>
      <c r="D48" s="64">
        <v>412855</v>
      </c>
      <c r="E48" s="64">
        <f>412855+82824</f>
        <v>495679</v>
      </c>
      <c r="F48" s="64">
        <f>412855+82824</f>
        <v>495679</v>
      </c>
      <c r="G48" s="64">
        <f>495679+70000</f>
        <v>565679</v>
      </c>
      <c r="H48" s="64">
        <f>495679+70000+70000</f>
        <v>635679</v>
      </c>
      <c r="I48" s="64">
        <f>495679+70000+70000+41000</f>
        <v>676679</v>
      </c>
    </row>
    <row r="49" spans="1:9" s="47" customFormat="1" ht="12" customHeight="1" thickBot="1">
      <c r="A49" s="44" t="s">
        <v>21</v>
      </c>
      <c r="B49" s="45" t="s">
        <v>282</v>
      </c>
      <c r="C49" s="46">
        <f t="shared" ref="C49:H49" si="6">SUM(C50:C54)</f>
        <v>0</v>
      </c>
      <c r="D49" s="46">
        <f t="shared" si="6"/>
        <v>0</v>
      </c>
      <c r="E49" s="46">
        <f t="shared" si="6"/>
        <v>0</v>
      </c>
      <c r="F49" s="46">
        <f t="shared" si="6"/>
        <v>0</v>
      </c>
      <c r="G49" s="46">
        <f t="shared" si="6"/>
        <v>0</v>
      </c>
      <c r="H49" s="46">
        <f t="shared" si="6"/>
        <v>0</v>
      </c>
      <c r="I49" s="46">
        <f>SUM(I50:I54)</f>
        <v>9574</v>
      </c>
    </row>
    <row r="50" spans="1:9" s="47" customFormat="1" ht="12" customHeight="1">
      <c r="A50" s="48" t="s">
        <v>91</v>
      </c>
      <c r="B50" s="49" t="s">
        <v>286</v>
      </c>
      <c r="C50" s="65"/>
      <c r="D50" s="65"/>
      <c r="E50" s="65"/>
      <c r="F50" s="65"/>
      <c r="G50" s="65"/>
      <c r="H50" s="65"/>
      <c r="I50" s="65"/>
    </row>
    <row r="51" spans="1:9" s="47" customFormat="1" ht="12" customHeight="1">
      <c r="A51" s="51" t="s">
        <v>92</v>
      </c>
      <c r="B51" s="52" t="s">
        <v>287</v>
      </c>
      <c r="C51" s="63"/>
      <c r="D51" s="63"/>
      <c r="E51" s="63"/>
      <c r="F51" s="63"/>
      <c r="G51" s="63"/>
      <c r="H51" s="63"/>
      <c r="I51" s="63"/>
    </row>
    <row r="52" spans="1:9" s="47" customFormat="1" ht="12" customHeight="1">
      <c r="A52" s="51" t="s">
        <v>283</v>
      </c>
      <c r="B52" s="52" t="s">
        <v>288</v>
      </c>
      <c r="C52" s="63"/>
      <c r="D52" s="63"/>
      <c r="E52" s="63"/>
      <c r="F52" s="63"/>
      <c r="G52" s="63"/>
      <c r="H52" s="63"/>
      <c r="I52" s="63"/>
    </row>
    <row r="53" spans="1:9" s="47" customFormat="1" ht="12" customHeight="1">
      <c r="A53" s="51" t="s">
        <v>284</v>
      </c>
      <c r="B53" s="52" t="s">
        <v>289</v>
      </c>
      <c r="C53" s="63"/>
      <c r="D53" s="63"/>
      <c r="E53" s="63"/>
      <c r="F53" s="63"/>
      <c r="G53" s="63"/>
      <c r="H53" s="63"/>
      <c r="I53" s="63">
        <v>9574</v>
      </c>
    </row>
    <row r="54" spans="1:9" s="47" customFormat="1" ht="12" customHeight="1" thickBot="1">
      <c r="A54" s="55" t="s">
        <v>285</v>
      </c>
      <c r="B54" s="56" t="s">
        <v>290</v>
      </c>
      <c r="C54" s="64"/>
      <c r="D54" s="64"/>
      <c r="E54" s="64"/>
      <c r="F54" s="64"/>
      <c r="G54" s="64"/>
      <c r="H54" s="64"/>
      <c r="I54" s="64"/>
    </row>
    <row r="55" spans="1:9" s="47" customFormat="1" ht="12" customHeight="1" thickBot="1">
      <c r="A55" s="44" t="s">
        <v>171</v>
      </c>
      <c r="B55" s="45" t="s">
        <v>291</v>
      </c>
      <c r="C55" s="46">
        <f t="shared" ref="C55:H55" si="7">SUM(C56:C58)</f>
        <v>0</v>
      </c>
      <c r="D55" s="46">
        <f t="shared" si="7"/>
        <v>0</v>
      </c>
      <c r="E55" s="46">
        <f t="shared" si="7"/>
        <v>0</v>
      </c>
      <c r="F55" s="46">
        <f t="shared" si="7"/>
        <v>0</v>
      </c>
      <c r="G55" s="46">
        <f t="shared" si="7"/>
        <v>0</v>
      </c>
      <c r="H55" s="46">
        <f t="shared" si="7"/>
        <v>0</v>
      </c>
      <c r="I55" s="46">
        <f>SUM(I56:I58)</f>
        <v>0</v>
      </c>
    </row>
    <row r="56" spans="1:9" s="47" customFormat="1" ht="12" customHeight="1">
      <c r="A56" s="48" t="s">
        <v>93</v>
      </c>
      <c r="B56" s="49" t="s">
        <v>292</v>
      </c>
      <c r="C56" s="50"/>
      <c r="D56" s="50"/>
      <c r="E56" s="50"/>
      <c r="F56" s="50"/>
      <c r="G56" s="50"/>
      <c r="H56" s="50"/>
      <c r="I56" s="50"/>
    </row>
    <row r="57" spans="1:9" s="47" customFormat="1" ht="12" customHeight="1">
      <c r="A57" s="51" t="s">
        <v>94</v>
      </c>
      <c r="B57" s="52" t="s">
        <v>422</v>
      </c>
      <c r="C57" s="53"/>
      <c r="D57" s="53"/>
      <c r="E57" s="53"/>
      <c r="F57" s="53"/>
      <c r="G57" s="53"/>
      <c r="H57" s="53"/>
      <c r="I57" s="53"/>
    </row>
    <row r="58" spans="1:9" s="47" customFormat="1" ht="12" customHeight="1">
      <c r="A58" s="51" t="s">
        <v>295</v>
      </c>
      <c r="B58" s="52" t="s">
        <v>293</v>
      </c>
      <c r="C58" s="53"/>
      <c r="D58" s="53"/>
      <c r="E58" s="53"/>
      <c r="F58" s="53"/>
      <c r="G58" s="53"/>
      <c r="H58" s="53"/>
      <c r="I58" s="53"/>
    </row>
    <row r="59" spans="1:9" s="47" customFormat="1" ht="12" customHeight="1" thickBot="1">
      <c r="A59" s="55" t="s">
        <v>296</v>
      </c>
      <c r="B59" s="56" t="s">
        <v>294</v>
      </c>
      <c r="C59" s="58"/>
      <c r="D59" s="58"/>
      <c r="E59" s="58"/>
      <c r="F59" s="58"/>
      <c r="G59" s="58"/>
      <c r="H59" s="58"/>
      <c r="I59" s="58"/>
    </row>
    <row r="60" spans="1:9" s="47" customFormat="1" ht="12" customHeight="1" thickBot="1">
      <c r="A60" s="44" t="s">
        <v>23</v>
      </c>
      <c r="B60" s="57" t="s">
        <v>297</v>
      </c>
      <c r="C60" s="46">
        <f t="shared" ref="C60:H60" si="8">SUM(C61:C63)</f>
        <v>120000</v>
      </c>
      <c r="D60" s="46">
        <f t="shared" si="8"/>
        <v>120000</v>
      </c>
      <c r="E60" s="46">
        <f t="shared" si="8"/>
        <v>120000</v>
      </c>
      <c r="F60" s="46">
        <f t="shared" si="8"/>
        <v>120000</v>
      </c>
      <c r="G60" s="46">
        <f t="shared" si="8"/>
        <v>120000</v>
      </c>
      <c r="H60" s="46">
        <f t="shared" si="8"/>
        <v>120000</v>
      </c>
      <c r="I60" s="46">
        <f>SUM(I61:I63)</f>
        <v>226000</v>
      </c>
    </row>
    <row r="61" spans="1:9" s="47" customFormat="1" ht="12" customHeight="1">
      <c r="A61" s="48" t="s">
        <v>172</v>
      </c>
      <c r="B61" s="49" t="s">
        <v>299</v>
      </c>
      <c r="C61" s="63"/>
      <c r="D61" s="63"/>
      <c r="E61" s="63"/>
      <c r="F61" s="63"/>
      <c r="G61" s="63"/>
      <c r="H61" s="63"/>
      <c r="I61" s="63"/>
    </row>
    <row r="62" spans="1:9" s="47" customFormat="1" ht="12" customHeight="1">
      <c r="A62" s="51" t="s">
        <v>173</v>
      </c>
      <c r="B62" s="52" t="s">
        <v>423</v>
      </c>
      <c r="C62" s="63">
        <v>120000</v>
      </c>
      <c r="D62" s="63">
        <v>120000</v>
      </c>
      <c r="E62" s="63">
        <v>120000</v>
      </c>
      <c r="F62" s="63">
        <v>120000</v>
      </c>
      <c r="G62" s="63">
        <v>120000</v>
      </c>
      <c r="H62" s="63">
        <v>120000</v>
      </c>
      <c r="I62" s="63">
        <f>120000+106000</f>
        <v>226000</v>
      </c>
    </row>
    <row r="63" spans="1:9" s="47" customFormat="1" ht="12" customHeight="1">
      <c r="A63" s="51" t="s">
        <v>221</v>
      </c>
      <c r="B63" s="52" t="s">
        <v>300</v>
      </c>
      <c r="C63" s="63"/>
      <c r="D63" s="63"/>
      <c r="E63" s="63"/>
      <c r="F63" s="63"/>
      <c r="G63" s="63"/>
      <c r="H63" s="63"/>
      <c r="I63" s="63"/>
    </row>
    <row r="64" spans="1:9" s="47" customFormat="1" ht="12" customHeight="1" thickBot="1">
      <c r="A64" s="55" t="s">
        <v>298</v>
      </c>
      <c r="B64" s="56" t="s">
        <v>301</v>
      </c>
      <c r="C64" s="63"/>
      <c r="D64" s="63"/>
      <c r="E64" s="63"/>
      <c r="F64" s="63"/>
      <c r="G64" s="63"/>
      <c r="H64" s="63"/>
      <c r="I64" s="63"/>
    </row>
    <row r="65" spans="1:9" s="47" customFormat="1" ht="12" customHeight="1" thickBot="1">
      <c r="A65" s="66" t="s">
        <v>474</v>
      </c>
      <c r="B65" s="45" t="s">
        <v>302</v>
      </c>
      <c r="C65" s="60">
        <f t="shared" ref="C65:H65" si="9">+C8+C15+C22+C29+C37+C49+C55+C60</f>
        <v>518766433</v>
      </c>
      <c r="D65" s="60">
        <f t="shared" si="9"/>
        <v>522226947</v>
      </c>
      <c r="E65" s="60">
        <f t="shared" si="9"/>
        <v>520683271</v>
      </c>
      <c r="F65" s="60">
        <f t="shared" si="9"/>
        <v>523183271</v>
      </c>
      <c r="G65" s="60">
        <f t="shared" si="9"/>
        <v>546406336</v>
      </c>
      <c r="H65" s="60">
        <f t="shared" si="9"/>
        <v>578043770</v>
      </c>
      <c r="I65" s="60">
        <f>+I8+I15+I22+I29+I37+I49+I55+I60</f>
        <v>591987784</v>
      </c>
    </row>
    <row r="66" spans="1:9" s="47" customFormat="1" ht="12" customHeight="1" thickBot="1">
      <c r="A66" s="67" t="s">
        <v>303</v>
      </c>
      <c r="B66" s="57" t="s">
        <v>304</v>
      </c>
      <c r="C66" s="46">
        <f t="shared" ref="C66:H66" si="10">SUM(C67:C69)</f>
        <v>0</v>
      </c>
      <c r="D66" s="46">
        <f t="shared" si="10"/>
        <v>0</v>
      </c>
      <c r="E66" s="46">
        <f t="shared" si="10"/>
        <v>0</v>
      </c>
      <c r="F66" s="46">
        <f t="shared" si="10"/>
        <v>0</v>
      </c>
      <c r="G66" s="46">
        <f t="shared" si="10"/>
        <v>0</v>
      </c>
      <c r="H66" s="46">
        <f t="shared" si="10"/>
        <v>0</v>
      </c>
      <c r="I66" s="46">
        <f>SUM(I67:I69)</f>
        <v>0</v>
      </c>
    </row>
    <row r="67" spans="1:9" s="47" customFormat="1" ht="12" customHeight="1">
      <c r="A67" s="48" t="s">
        <v>335</v>
      </c>
      <c r="B67" s="49" t="s">
        <v>305</v>
      </c>
      <c r="C67" s="63"/>
      <c r="D67" s="63"/>
      <c r="E67" s="63"/>
      <c r="F67" s="63"/>
      <c r="G67" s="63"/>
      <c r="H67" s="63"/>
      <c r="I67" s="63"/>
    </row>
    <row r="68" spans="1:9" s="47" customFormat="1" ht="12" customHeight="1">
      <c r="A68" s="51" t="s">
        <v>344</v>
      </c>
      <c r="B68" s="52" t="s">
        <v>306</v>
      </c>
      <c r="C68" s="63"/>
      <c r="D68" s="63"/>
      <c r="E68" s="63"/>
      <c r="F68" s="63"/>
      <c r="G68" s="63"/>
      <c r="H68" s="63"/>
      <c r="I68" s="63"/>
    </row>
    <row r="69" spans="1:9" s="47" customFormat="1" ht="12" customHeight="1" thickBot="1">
      <c r="A69" s="55" t="s">
        <v>345</v>
      </c>
      <c r="B69" s="68" t="s">
        <v>459</v>
      </c>
      <c r="C69" s="63"/>
      <c r="D69" s="63"/>
      <c r="E69" s="63"/>
      <c r="F69" s="63"/>
      <c r="G69" s="63"/>
      <c r="H69" s="63"/>
      <c r="I69" s="63"/>
    </row>
    <row r="70" spans="1:9" s="47" customFormat="1" ht="12" customHeight="1" thickBot="1">
      <c r="A70" s="67" t="s">
        <v>308</v>
      </c>
      <c r="B70" s="57" t="s">
        <v>309</v>
      </c>
      <c r="C70" s="46">
        <f t="shared" ref="C70:H70" si="11">SUM(C71:C74)</f>
        <v>0</v>
      </c>
      <c r="D70" s="46">
        <f t="shared" si="11"/>
        <v>0</v>
      </c>
      <c r="E70" s="46">
        <f t="shared" si="11"/>
        <v>0</v>
      </c>
      <c r="F70" s="46">
        <f t="shared" si="11"/>
        <v>0</v>
      </c>
      <c r="G70" s="46">
        <f t="shared" si="11"/>
        <v>9574</v>
      </c>
      <c r="H70" s="46">
        <f t="shared" si="11"/>
        <v>9574</v>
      </c>
      <c r="I70" s="46">
        <f>SUM(I71:I74)</f>
        <v>0</v>
      </c>
    </row>
    <row r="71" spans="1:9" s="47" customFormat="1" ht="12" customHeight="1">
      <c r="A71" s="48" t="s">
        <v>142</v>
      </c>
      <c r="B71" s="49" t="s">
        <v>310</v>
      </c>
      <c r="C71" s="63"/>
      <c r="D71" s="63"/>
      <c r="E71" s="63"/>
      <c r="F71" s="63"/>
      <c r="G71" s="63"/>
      <c r="H71" s="63"/>
      <c r="I71" s="63"/>
    </row>
    <row r="72" spans="1:9" s="47" customFormat="1" ht="12" customHeight="1">
      <c r="A72" s="51" t="s">
        <v>143</v>
      </c>
      <c r="B72" s="52" t="s">
        <v>311</v>
      </c>
      <c r="C72" s="63"/>
      <c r="D72" s="63"/>
      <c r="E72" s="63"/>
      <c r="F72" s="63"/>
      <c r="G72" s="63"/>
      <c r="H72" s="63"/>
      <c r="I72" s="63"/>
    </row>
    <row r="73" spans="1:9" s="47" customFormat="1" ht="12" customHeight="1">
      <c r="A73" s="51" t="s">
        <v>336</v>
      </c>
      <c r="B73" s="52" t="s">
        <v>312</v>
      </c>
      <c r="C73" s="63"/>
      <c r="D73" s="63"/>
      <c r="E73" s="63"/>
      <c r="F73" s="63"/>
      <c r="G73" s="63">
        <v>9574</v>
      </c>
      <c r="H73" s="63">
        <v>9574</v>
      </c>
      <c r="I73" s="63"/>
    </row>
    <row r="74" spans="1:9" s="47" customFormat="1" ht="12" customHeight="1" thickBot="1">
      <c r="A74" s="55" t="s">
        <v>337</v>
      </c>
      <c r="B74" s="56" t="s">
        <v>313</v>
      </c>
      <c r="C74" s="63"/>
      <c r="D74" s="63"/>
      <c r="E74" s="63"/>
      <c r="F74" s="63"/>
      <c r="G74" s="63"/>
      <c r="H74" s="63"/>
      <c r="I74" s="63"/>
    </row>
    <row r="75" spans="1:9" s="47" customFormat="1" ht="12" customHeight="1" thickBot="1">
      <c r="A75" s="67" t="s">
        <v>314</v>
      </c>
      <c r="B75" s="57" t="s">
        <v>315</v>
      </c>
      <c r="C75" s="46">
        <f t="shared" ref="C75:H75" si="12">SUM(C76:C77)</f>
        <v>606054429</v>
      </c>
      <c r="D75" s="46">
        <f t="shared" si="12"/>
        <v>606054429</v>
      </c>
      <c r="E75" s="46">
        <f t="shared" si="12"/>
        <v>605704429</v>
      </c>
      <c r="F75" s="46">
        <f t="shared" si="12"/>
        <v>605704429</v>
      </c>
      <c r="G75" s="46">
        <f t="shared" si="12"/>
        <v>605704429</v>
      </c>
      <c r="H75" s="46">
        <f t="shared" si="12"/>
        <v>605704429</v>
      </c>
      <c r="I75" s="46">
        <f>SUM(I76:I77)</f>
        <v>605704429</v>
      </c>
    </row>
    <row r="76" spans="1:9" s="47" customFormat="1" ht="12" customHeight="1">
      <c r="A76" s="48" t="s">
        <v>338</v>
      </c>
      <c r="B76" s="49" t="s">
        <v>316</v>
      </c>
      <c r="C76" s="63">
        <v>606054429</v>
      </c>
      <c r="D76" s="63">
        <v>606054429</v>
      </c>
      <c r="E76" s="63">
        <f>606054429-350000</f>
        <v>605704429</v>
      </c>
      <c r="F76" s="63">
        <f>606054429-350000</f>
        <v>605704429</v>
      </c>
      <c r="G76" s="63">
        <f>606054429-350000</f>
        <v>605704429</v>
      </c>
      <c r="H76" s="63">
        <f>606054429-350000</f>
        <v>605704429</v>
      </c>
      <c r="I76" s="63">
        <f>606054429-350000</f>
        <v>605704429</v>
      </c>
    </row>
    <row r="77" spans="1:9" s="47" customFormat="1" ht="12" customHeight="1" thickBot="1">
      <c r="A77" s="55" t="s">
        <v>339</v>
      </c>
      <c r="B77" s="56" t="s">
        <v>317</v>
      </c>
      <c r="C77" s="63"/>
      <c r="D77" s="63"/>
      <c r="E77" s="63"/>
      <c r="F77" s="63"/>
      <c r="G77" s="63"/>
      <c r="H77" s="63"/>
      <c r="I77" s="63"/>
    </row>
    <row r="78" spans="1:9" s="47" customFormat="1" ht="12" customHeight="1" thickBot="1">
      <c r="A78" s="67" t="s">
        <v>318</v>
      </c>
      <c r="B78" s="57" t="s">
        <v>319</v>
      </c>
      <c r="C78" s="46">
        <f t="shared" ref="C78:H78" si="13">SUM(C79:C81)</f>
        <v>0</v>
      </c>
      <c r="D78" s="46">
        <f t="shared" si="13"/>
        <v>72564</v>
      </c>
      <c r="E78" s="46">
        <f t="shared" si="13"/>
        <v>72564</v>
      </c>
      <c r="F78" s="46">
        <f t="shared" si="13"/>
        <v>72564</v>
      </c>
      <c r="G78" s="46">
        <f t="shared" si="13"/>
        <v>72564</v>
      </c>
      <c r="H78" s="46">
        <f t="shared" si="13"/>
        <v>72564</v>
      </c>
      <c r="I78" s="46">
        <f>SUM(I79:I81)</f>
        <v>8180284</v>
      </c>
    </row>
    <row r="79" spans="1:9" s="47" customFormat="1" ht="12" customHeight="1">
      <c r="A79" s="48" t="s">
        <v>340</v>
      </c>
      <c r="B79" s="49" t="s">
        <v>320</v>
      </c>
      <c r="C79" s="63"/>
      <c r="D79" s="63">
        <v>72564</v>
      </c>
      <c r="E79" s="63">
        <v>72564</v>
      </c>
      <c r="F79" s="63">
        <v>72564</v>
      </c>
      <c r="G79" s="63">
        <v>72564</v>
      </c>
      <c r="H79" s="63">
        <v>72564</v>
      </c>
      <c r="I79" s="63">
        <f>72564+8107720</f>
        <v>8180284</v>
      </c>
    </row>
    <row r="80" spans="1:9" s="47" customFormat="1" ht="12" customHeight="1">
      <c r="A80" s="51" t="s">
        <v>341</v>
      </c>
      <c r="B80" s="52" t="s">
        <v>321</v>
      </c>
      <c r="C80" s="63"/>
      <c r="D80" s="63"/>
      <c r="E80" s="63"/>
      <c r="F80" s="63"/>
      <c r="G80" s="63"/>
      <c r="H80" s="63"/>
      <c r="I80" s="63"/>
    </row>
    <row r="81" spans="1:9" s="47" customFormat="1" ht="12" customHeight="1" thickBot="1">
      <c r="A81" s="55" t="s">
        <v>342</v>
      </c>
      <c r="B81" s="56" t="s">
        <v>322</v>
      </c>
      <c r="C81" s="63"/>
      <c r="D81" s="63"/>
      <c r="E81" s="63"/>
      <c r="F81" s="63"/>
      <c r="G81" s="63"/>
      <c r="H81" s="63"/>
      <c r="I81" s="63"/>
    </row>
    <row r="82" spans="1:9" s="47" customFormat="1" ht="12" customHeight="1" thickBot="1">
      <c r="A82" s="67" t="s">
        <v>323</v>
      </c>
      <c r="B82" s="57" t="s">
        <v>343</v>
      </c>
      <c r="C82" s="46">
        <f t="shared" ref="C82:H82" si="14">SUM(C83:C86)</f>
        <v>0</v>
      </c>
      <c r="D82" s="46">
        <f t="shared" si="14"/>
        <v>0</v>
      </c>
      <c r="E82" s="46">
        <f t="shared" si="14"/>
        <v>0</v>
      </c>
      <c r="F82" s="46">
        <f t="shared" si="14"/>
        <v>0</v>
      </c>
      <c r="G82" s="46">
        <f t="shared" si="14"/>
        <v>0</v>
      </c>
      <c r="H82" s="46">
        <f t="shared" si="14"/>
        <v>0</v>
      </c>
      <c r="I82" s="46">
        <f>SUM(I83:I86)</f>
        <v>0</v>
      </c>
    </row>
    <row r="83" spans="1:9" s="47" customFormat="1" ht="12" customHeight="1">
      <c r="A83" s="69" t="s">
        <v>324</v>
      </c>
      <c r="B83" s="49" t="s">
        <v>325</v>
      </c>
      <c r="C83" s="63"/>
      <c r="D83" s="63"/>
      <c r="E83" s="63"/>
      <c r="F83" s="63"/>
      <c r="G83" s="63"/>
      <c r="H83" s="63"/>
      <c r="I83" s="63"/>
    </row>
    <row r="84" spans="1:9" s="47" customFormat="1" ht="12" customHeight="1">
      <c r="A84" s="70" t="s">
        <v>326</v>
      </c>
      <c r="B84" s="52" t="s">
        <v>327</v>
      </c>
      <c r="C84" s="63"/>
      <c r="D84" s="63"/>
      <c r="E84" s="63"/>
      <c r="F84" s="63"/>
      <c r="G84" s="63"/>
      <c r="H84" s="63"/>
      <c r="I84" s="63"/>
    </row>
    <row r="85" spans="1:9" s="47" customFormat="1" ht="12" customHeight="1">
      <c r="A85" s="70" t="s">
        <v>328</v>
      </c>
      <c r="B85" s="52" t="s">
        <v>329</v>
      </c>
      <c r="C85" s="63"/>
      <c r="D85" s="63"/>
      <c r="E85" s="63"/>
      <c r="F85" s="63"/>
      <c r="G85" s="63"/>
      <c r="H85" s="63"/>
      <c r="I85" s="63"/>
    </row>
    <row r="86" spans="1:9" s="47" customFormat="1" ht="12" customHeight="1" thickBot="1">
      <c r="A86" s="71" t="s">
        <v>330</v>
      </c>
      <c r="B86" s="56" t="s">
        <v>331</v>
      </c>
      <c r="C86" s="63"/>
      <c r="D86" s="63"/>
      <c r="E86" s="63"/>
      <c r="F86" s="63"/>
      <c r="G86" s="63"/>
      <c r="H86" s="63"/>
      <c r="I86" s="63"/>
    </row>
    <row r="87" spans="1:9" s="47" customFormat="1" ht="12" customHeight="1" thickBot="1">
      <c r="A87" s="67" t="s">
        <v>332</v>
      </c>
      <c r="B87" s="57" t="s">
        <v>473</v>
      </c>
      <c r="C87" s="72"/>
      <c r="D87" s="72"/>
      <c r="E87" s="72"/>
      <c r="F87" s="72"/>
      <c r="G87" s="72"/>
      <c r="H87" s="72"/>
      <c r="I87" s="72"/>
    </row>
    <row r="88" spans="1:9" s="47" customFormat="1" ht="13.5" customHeight="1" thickBot="1">
      <c r="A88" s="67" t="s">
        <v>334</v>
      </c>
      <c r="B88" s="57" t="s">
        <v>333</v>
      </c>
      <c r="C88" s="72"/>
      <c r="D88" s="72"/>
      <c r="E88" s="72"/>
      <c r="F88" s="72"/>
      <c r="G88" s="72"/>
      <c r="H88" s="72"/>
      <c r="I88" s="72"/>
    </row>
    <row r="89" spans="1:9" s="47" customFormat="1" ht="15.75" customHeight="1" thickBot="1">
      <c r="A89" s="67" t="s">
        <v>346</v>
      </c>
      <c r="B89" s="73" t="s">
        <v>476</v>
      </c>
      <c r="C89" s="60">
        <f t="shared" ref="C89:H89" si="15">+C66+C70+C75+C78+C82+C88+C87</f>
        <v>606054429</v>
      </c>
      <c r="D89" s="60">
        <f t="shared" si="15"/>
        <v>606126993</v>
      </c>
      <c r="E89" s="60">
        <f t="shared" si="15"/>
        <v>605776993</v>
      </c>
      <c r="F89" s="60">
        <f t="shared" si="15"/>
        <v>605776993</v>
      </c>
      <c r="G89" s="60">
        <f t="shared" si="15"/>
        <v>605786567</v>
      </c>
      <c r="H89" s="60">
        <f t="shared" si="15"/>
        <v>605786567</v>
      </c>
      <c r="I89" s="60">
        <f>+I66+I70+I75+I78+I82+I88+I87</f>
        <v>613884713</v>
      </c>
    </row>
    <row r="90" spans="1:9" s="47" customFormat="1" ht="16.5" customHeight="1" thickBot="1">
      <c r="A90" s="74" t="s">
        <v>475</v>
      </c>
      <c r="B90" s="75" t="s">
        <v>477</v>
      </c>
      <c r="C90" s="60">
        <f t="shared" ref="C90:H90" si="16">+C65+C89</f>
        <v>1124820862</v>
      </c>
      <c r="D90" s="60">
        <f t="shared" si="16"/>
        <v>1128353940</v>
      </c>
      <c r="E90" s="60">
        <f t="shared" si="16"/>
        <v>1126460264</v>
      </c>
      <c r="F90" s="60">
        <f t="shared" si="16"/>
        <v>1128960264</v>
      </c>
      <c r="G90" s="60">
        <f t="shared" si="16"/>
        <v>1152192903</v>
      </c>
      <c r="H90" s="60">
        <f t="shared" si="16"/>
        <v>1183830337</v>
      </c>
      <c r="I90" s="60">
        <f>+I65+I89</f>
        <v>1205872497</v>
      </c>
    </row>
    <row r="91" spans="1:9" s="47" customFormat="1" ht="83.25" customHeight="1">
      <c r="A91" s="76"/>
      <c r="B91" s="77"/>
      <c r="C91" s="78"/>
      <c r="D91" s="78"/>
      <c r="E91" s="78"/>
      <c r="F91" s="78"/>
      <c r="G91" s="78"/>
      <c r="H91" s="78"/>
      <c r="I91" s="78"/>
    </row>
    <row r="92" spans="1:9" s="36" customFormat="1" ht="16.5" customHeight="1">
      <c r="A92" s="735" t="s">
        <v>44</v>
      </c>
      <c r="B92" s="735"/>
    </row>
    <row r="93" spans="1:9" s="80" customFormat="1" ht="16.5" customHeight="1" thickBot="1">
      <c r="A93" s="736" t="s">
        <v>145</v>
      </c>
      <c r="B93" s="736"/>
      <c r="C93" s="79"/>
      <c r="D93" s="79"/>
      <c r="E93" s="79"/>
      <c r="F93" s="79"/>
      <c r="G93" s="79"/>
      <c r="H93" s="79"/>
      <c r="I93" s="79"/>
    </row>
    <row r="94" spans="1:9" s="36" customFormat="1" ht="38.1" customHeight="1" thickBot="1">
      <c r="A94" s="38" t="s">
        <v>66</v>
      </c>
      <c r="B94" s="39" t="s">
        <v>45</v>
      </c>
      <c r="C94" s="120" t="s">
        <v>687</v>
      </c>
      <c r="D94" s="270" t="s">
        <v>738</v>
      </c>
      <c r="E94" s="270" t="s">
        <v>743</v>
      </c>
      <c r="F94" s="270" t="s">
        <v>758</v>
      </c>
      <c r="G94" s="270" t="s">
        <v>760</v>
      </c>
      <c r="H94" s="270" t="s">
        <v>773</v>
      </c>
      <c r="I94" s="270" t="s">
        <v>773</v>
      </c>
    </row>
    <row r="95" spans="1:9" s="43" customFormat="1" ht="12" customHeight="1" thickBot="1">
      <c r="A95" s="81" t="s">
        <v>485</v>
      </c>
      <c r="B95" s="82" t="s">
        <v>486</v>
      </c>
      <c r="C95" s="83" t="s">
        <v>487</v>
      </c>
      <c r="D95" s="83" t="s">
        <v>487</v>
      </c>
      <c r="E95" s="83" t="s">
        <v>487</v>
      </c>
      <c r="F95" s="83" t="s">
        <v>487</v>
      </c>
      <c r="G95" s="83" t="s">
        <v>487</v>
      </c>
      <c r="H95" s="83" t="s">
        <v>487</v>
      </c>
      <c r="I95" s="83" t="s">
        <v>487</v>
      </c>
    </row>
    <row r="96" spans="1:9" s="36" customFormat="1" ht="12" customHeight="1" thickBot="1">
      <c r="A96" s="84" t="s">
        <v>16</v>
      </c>
      <c r="B96" s="85" t="s">
        <v>653</v>
      </c>
      <c r="C96" s="86">
        <f t="shared" ref="C96:H96" si="17">C97+C98+C99+C100+C101+C114</f>
        <v>463971375</v>
      </c>
      <c r="D96" s="86">
        <f t="shared" si="17"/>
        <v>468168489</v>
      </c>
      <c r="E96" s="86">
        <f t="shared" si="17"/>
        <v>467750201</v>
      </c>
      <c r="F96" s="86">
        <f t="shared" si="17"/>
        <v>470250201</v>
      </c>
      <c r="G96" s="86">
        <f t="shared" si="17"/>
        <v>491007940</v>
      </c>
      <c r="H96" s="86">
        <f t="shared" si="17"/>
        <v>513291084</v>
      </c>
      <c r="I96" s="86">
        <f>I97+I98+I99+I100+I101+I114</f>
        <v>520526524</v>
      </c>
    </row>
    <row r="97" spans="1:9" s="36" customFormat="1" ht="12" customHeight="1">
      <c r="A97" s="87" t="s">
        <v>95</v>
      </c>
      <c r="B97" s="17" t="s">
        <v>46</v>
      </c>
      <c r="C97" s="88">
        <f>76128455-13518800</f>
        <v>62609655</v>
      </c>
      <c r="D97" s="88">
        <f>76128455-13518800+652240</f>
        <v>63261895</v>
      </c>
      <c r="E97" s="88">
        <f>63261895+80625-136576</f>
        <v>63205944</v>
      </c>
      <c r="F97" s="88">
        <f>63261895+80625-136576</f>
        <v>63205944</v>
      </c>
      <c r="G97" s="88">
        <f>63205944+600000-6000000+533651+489180-346778-10908+3000000+5400000</f>
        <v>66871089</v>
      </c>
      <c r="H97" s="88">
        <f>66871089+600000+548400</f>
        <v>68019489</v>
      </c>
      <c r="I97" s="88">
        <f>66871089+600000+548400</f>
        <v>68019489</v>
      </c>
    </row>
    <row r="98" spans="1:9" s="36" customFormat="1" ht="12" customHeight="1">
      <c r="A98" s="51" t="s">
        <v>96</v>
      </c>
      <c r="B98" s="18" t="s">
        <v>174</v>
      </c>
      <c r="C98" s="53">
        <f>16384694-2792432</f>
        <v>13592262</v>
      </c>
      <c r="D98" s="53">
        <f>16384694-2792432+63592</f>
        <v>13655854</v>
      </c>
      <c r="E98" s="53">
        <f>13655854+27590-30047</f>
        <v>13653397</v>
      </c>
      <c r="F98" s="53">
        <f>13655854+27590-30047</f>
        <v>13653397</v>
      </c>
      <c r="G98" s="53">
        <f>13653397+117000-117000+52030+47694-67622-2400+585000</f>
        <v>14268099</v>
      </c>
      <c r="H98" s="53">
        <f>14268099+106136+106938</f>
        <v>14481173</v>
      </c>
      <c r="I98" s="53">
        <f>14268099+106136+106938</f>
        <v>14481173</v>
      </c>
    </row>
    <row r="99" spans="1:9" s="36" customFormat="1" ht="12" customHeight="1">
      <c r="A99" s="51" t="s">
        <v>97</v>
      </c>
      <c r="B99" s="18" t="s">
        <v>133</v>
      </c>
      <c r="C99" s="58">
        <f>213143994-60620950</f>
        <v>152523044</v>
      </c>
      <c r="D99" s="58">
        <f>213143994-60620950+635000+101600</f>
        <v>153259644</v>
      </c>
      <c r="E99" s="58">
        <f>213143994-60620950+635000+101600+533400+167910+34360+13694572+9032376+702474-1506220+132358+1911775+1441313</f>
        <v>179403962</v>
      </c>
      <c r="F99" s="58">
        <f>213143994-60620950+635000+101600+533400+167910+34360+13694572+9032376+702474-1506220+132358+1911775+1441313</f>
        <v>179403962</v>
      </c>
      <c r="G99" s="58">
        <f>213143994-60620950+635000+101600+533400+167910+34360+13694572+9032376+702474-1506220+132358+1911775+1441313-175536-375067-121089</f>
        <v>178732270</v>
      </c>
      <c r="H99" s="58">
        <f>178732270+306000+21143000+140000+2951480-400000+1056000</f>
        <v>203928750</v>
      </c>
      <c r="I99" s="58">
        <f>178732270+306000+21143000+140000+2951480-400000-230000+1056000</f>
        <v>203698750</v>
      </c>
    </row>
    <row r="100" spans="1:9" s="36" customFormat="1" ht="12" customHeight="1">
      <c r="A100" s="51" t="s">
        <v>98</v>
      </c>
      <c r="B100" s="89" t="s">
        <v>175</v>
      </c>
      <c r="C100" s="58">
        <f t="shared" ref="C100:I100" si="18">9710000</f>
        <v>9710000</v>
      </c>
      <c r="D100" s="58">
        <f t="shared" si="18"/>
        <v>9710000</v>
      </c>
      <c r="E100" s="58">
        <f t="shared" si="18"/>
        <v>9710000</v>
      </c>
      <c r="F100" s="58">
        <f t="shared" si="18"/>
        <v>9710000</v>
      </c>
      <c r="G100" s="58">
        <f t="shared" si="18"/>
        <v>9710000</v>
      </c>
      <c r="H100" s="58">
        <f t="shared" si="18"/>
        <v>9710000</v>
      </c>
      <c r="I100" s="58">
        <f t="shared" si="18"/>
        <v>9710000</v>
      </c>
    </row>
    <row r="101" spans="1:9" s="36" customFormat="1" ht="12" customHeight="1">
      <c r="A101" s="51" t="s">
        <v>109</v>
      </c>
      <c r="B101" s="90" t="s">
        <v>176</v>
      </c>
      <c r="C101" s="58">
        <f t="shared" ref="C101:H101" si="19">C102+C103+C104+C105+C106+C107+C108+C109+C110+C111+C112+C113</f>
        <v>151918362</v>
      </c>
      <c r="D101" s="58">
        <f t="shared" si="19"/>
        <v>155906226</v>
      </c>
      <c r="E101" s="58">
        <f t="shared" si="19"/>
        <v>156786215</v>
      </c>
      <c r="F101" s="58">
        <f t="shared" si="19"/>
        <v>159286215</v>
      </c>
      <c r="G101" s="58">
        <f t="shared" si="19"/>
        <v>159286215</v>
      </c>
      <c r="H101" s="58">
        <f t="shared" si="19"/>
        <v>163043415</v>
      </c>
      <c r="I101" s="58">
        <f>I102+I103+I104+I105+I106+I107+I108+I109+I110+I111+I112+I113</f>
        <v>162465415</v>
      </c>
    </row>
    <row r="102" spans="1:9" s="36" customFormat="1" ht="12" customHeight="1">
      <c r="A102" s="51" t="s">
        <v>99</v>
      </c>
      <c r="B102" s="18" t="s">
        <v>440</v>
      </c>
      <c r="C102" s="58"/>
      <c r="D102" s="58"/>
      <c r="E102" s="58"/>
      <c r="F102" s="58"/>
      <c r="G102" s="58"/>
      <c r="H102" s="58"/>
      <c r="I102" s="58"/>
    </row>
    <row r="103" spans="1:9" s="36" customFormat="1" ht="12" customHeight="1">
      <c r="A103" s="51" t="s">
        <v>100</v>
      </c>
      <c r="B103" s="91" t="s">
        <v>439</v>
      </c>
      <c r="C103" s="58"/>
      <c r="D103" s="58"/>
      <c r="E103" s="58"/>
      <c r="F103" s="58"/>
      <c r="G103" s="58"/>
      <c r="H103" s="58"/>
      <c r="I103" s="58"/>
    </row>
    <row r="104" spans="1:9" s="36" customFormat="1" ht="12" customHeight="1">
      <c r="A104" s="51" t="s">
        <v>110</v>
      </c>
      <c r="B104" s="91" t="s">
        <v>438</v>
      </c>
      <c r="C104" s="58">
        <f>272642</f>
        <v>272642</v>
      </c>
      <c r="D104" s="58">
        <f>272642</f>
        <v>272642</v>
      </c>
      <c r="E104" s="58">
        <f>272642</f>
        <v>272642</v>
      </c>
      <c r="F104" s="58">
        <f>272642</f>
        <v>272642</v>
      </c>
      <c r="G104" s="58">
        <f>272642</f>
        <v>272642</v>
      </c>
      <c r="H104" s="58">
        <f>272642+400000</f>
        <v>672642</v>
      </c>
      <c r="I104" s="58">
        <f>272642+400000</f>
        <v>672642</v>
      </c>
    </row>
    <row r="105" spans="1:9" s="36" customFormat="1" ht="12" customHeight="1">
      <c r="A105" s="51" t="s">
        <v>111</v>
      </c>
      <c r="B105" s="92" t="s">
        <v>349</v>
      </c>
      <c r="C105" s="58"/>
      <c r="D105" s="58"/>
      <c r="E105" s="58"/>
      <c r="F105" s="58"/>
      <c r="G105" s="58"/>
      <c r="H105" s="58"/>
      <c r="I105" s="58"/>
    </row>
    <row r="106" spans="1:9" s="36" customFormat="1" ht="12" customHeight="1">
      <c r="A106" s="51" t="s">
        <v>112</v>
      </c>
      <c r="B106" s="93" t="s">
        <v>350</v>
      </c>
      <c r="C106" s="58"/>
      <c r="D106" s="58"/>
      <c r="E106" s="58"/>
      <c r="F106" s="58"/>
      <c r="G106" s="58"/>
      <c r="H106" s="58"/>
      <c r="I106" s="58"/>
    </row>
    <row r="107" spans="1:9" s="36" customFormat="1" ht="12" customHeight="1">
      <c r="A107" s="51" t="s">
        <v>113</v>
      </c>
      <c r="B107" s="93" t="s">
        <v>351</v>
      </c>
      <c r="C107" s="58"/>
      <c r="D107" s="58"/>
      <c r="E107" s="58"/>
      <c r="F107" s="58"/>
      <c r="G107" s="58"/>
      <c r="H107" s="58"/>
      <c r="I107" s="58"/>
    </row>
    <row r="108" spans="1:9" s="36" customFormat="1" ht="12" customHeight="1">
      <c r="A108" s="51" t="s">
        <v>115</v>
      </c>
      <c r="B108" s="92" t="s">
        <v>352</v>
      </c>
      <c r="C108" s="58">
        <f>112674020</f>
        <v>112674020</v>
      </c>
      <c r="D108" s="58">
        <f>112674020+3987864</f>
        <v>116661884</v>
      </c>
      <c r="E108" s="58">
        <f>112674020+3987864+1224473-374484</f>
        <v>117511873</v>
      </c>
      <c r="F108" s="58">
        <f>112674020+3987864+1224473-374484</f>
        <v>117511873</v>
      </c>
      <c r="G108" s="58">
        <f>112674020+3987864+1224473-374484</f>
        <v>117511873</v>
      </c>
      <c r="H108" s="58">
        <f>117511873+100000+3207200</f>
        <v>120819073</v>
      </c>
      <c r="I108" s="58">
        <f>117511873+100000+3207200-95000</f>
        <v>120724073</v>
      </c>
    </row>
    <row r="109" spans="1:9" s="36" customFormat="1" ht="12" customHeight="1">
      <c r="A109" s="51" t="s">
        <v>177</v>
      </c>
      <c r="B109" s="92" t="s">
        <v>353</v>
      </c>
      <c r="C109" s="58"/>
      <c r="D109" s="58"/>
      <c r="E109" s="58"/>
      <c r="F109" s="58"/>
      <c r="G109" s="58"/>
      <c r="H109" s="58"/>
      <c r="I109" s="58"/>
    </row>
    <row r="110" spans="1:9" s="36" customFormat="1" ht="12" customHeight="1">
      <c r="A110" s="51" t="s">
        <v>347</v>
      </c>
      <c r="B110" s="93" t="s">
        <v>354</v>
      </c>
      <c r="C110" s="58"/>
      <c r="D110" s="58"/>
      <c r="E110" s="58"/>
      <c r="F110" s="58"/>
      <c r="G110" s="58"/>
      <c r="H110" s="58"/>
      <c r="I110" s="58"/>
    </row>
    <row r="111" spans="1:9" s="36" customFormat="1" ht="12" customHeight="1">
      <c r="A111" s="94" t="s">
        <v>348</v>
      </c>
      <c r="B111" s="91" t="s">
        <v>355</v>
      </c>
      <c r="C111" s="58"/>
      <c r="D111" s="58"/>
      <c r="E111" s="58"/>
      <c r="F111" s="58"/>
      <c r="G111" s="58"/>
      <c r="H111" s="58"/>
      <c r="I111" s="58"/>
    </row>
    <row r="112" spans="1:9" s="36" customFormat="1" ht="12" customHeight="1">
      <c r="A112" s="51" t="s">
        <v>436</v>
      </c>
      <c r="B112" s="91" t="s">
        <v>356</v>
      </c>
      <c r="C112" s="58"/>
      <c r="D112" s="58"/>
      <c r="E112" s="58"/>
      <c r="F112" s="58"/>
      <c r="G112" s="58"/>
      <c r="H112" s="58"/>
      <c r="I112" s="58"/>
    </row>
    <row r="113" spans="1:9" s="36" customFormat="1" ht="12" customHeight="1">
      <c r="A113" s="55" t="s">
        <v>437</v>
      </c>
      <c r="B113" s="91" t="s">
        <v>357</v>
      </c>
      <c r="C113" s="58">
        <f>38971700</f>
        <v>38971700</v>
      </c>
      <c r="D113" s="58">
        <f>38971700</f>
        <v>38971700</v>
      </c>
      <c r="E113" s="58">
        <f>38971700+30000</f>
        <v>39001700</v>
      </c>
      <c r="F113" s="58">
        <f>38971700+30000+2500000</f>
        <v>41501700</v>
      </c>
      <c r="G113" s="58">
        <f>38971700+30000+2500000</f>
        <v>41501700</v>
      </c>
      <c r="H113" s="58">
        <f>38971700+30000+2500000+50000</f>
        <v>41551700</v>
      </c>
      <c r="I113" s="58">
        <f>38971700+30000+2500000+50000-578000+95000</f>
        <v>41068700</v>
      </c>
    </row>
    <row r="114" spans="1:9" s="36" customFormat="1" ht="12" customHeight="1">
      <c r="A114" s="51" t="s">
        <v>441</v>
      </c>
      <c r="B114" s="89" t="s">
        <v>47</v>
      </c>
      <c r="C114" s="53">
        <f t="shared" ref="C114:H114" si="20">C115+C117</f>
        <v>73618052</v>
      </c>
      <c r="D114" s="53">
        <f t="shared" si="20"/>
        <v>72374870</v>
      </c>
      <c r="E114" s="53">
        <f t="shared" si="20"/>
        <v>44990683</v>
      </c>
      <c r="F114" s="53">
        <f t="shared" si="20"/>
        <v>44990683</v>
      </c>
      <c r="G114" s="53">
        <f t="shared" si="20"/>
        <v>62140267</v>
      </c>
      <c r="H114" s="53">
        <f t="shared" si="20"/>
        <v>54108257</v>
      </c>
      <c r="I114" s="53">
        <f>I115+I117</f>
        <v>62151697</v>
      </c>
    </row>
    <row r="115" spans="1:9" s="36" customFormat="1" ht="12" customHeight="1">
      <c r="A115" s="51" t="s">
        <v>442</v>
      </c>
      <c r="B115" s="18" t="s">
        <v>444</v>
      </c>
      <c r="C115" s="53">
        <v>44412474</v>
      </c>
      <c r="D115" s="53">
        <f>44412474+105000+78540+119640+280587+241524+1919391-3987864</f>
        <v>43169292</v>
      </c>
      <c r="E115" s="53">
        <f>43169292-5717922+82824-350000-152000+187376+293730-1919391-1224473-1000000-3101025-2814800+374484-605530+782302-8986168-190500-1600000-142575-249000-150000-2774000-5000000-3086614-597073-30000</f>
        <v>5198937</v>
      </c>
      <c r="F115" s="53">
        <f>43169292-5717922+82824-350000-152000+187376+293730-1919391-1224473-1000000-3101025-2814800+374484-605530+782302-8986168-190500-1600000-142575-249000-150000-2774000-5000000-3086614-597073-30000</f>
        <v>5198937</v>
      </c>
      <c r="G115" s="53">
        <f>5198937+37000+75000+290000+962832-962832-717000+717000+585071+281066+33770000-7200000+9574+344120-6350000-1075500-10000000-3585000+18253-50000</f>
        <v>12348521</v>
      </c>
      <c r="H115" s="53">
        <f>12348521+37000-26672-100000+226143+291818+15000+130000+191640+1370000+18000000+92490+145909-50000-655338</f>
        <v>32016511</v>
      </c>
      <c r="I115" s="53">
        <f>12348521+37000-26672-100000+226143+291818+15000+191640+1370000+18000000+92490+145909-50000-655338+92494+173484+51252-141100+518310+255000+6924000+300000</f>
        <v>40059951</v>
      </c>
    </row>
    <row r="116" spans="1:9" s="36" customFormat="1" ht="12" customHeight="1">
      <c r="A116" s="55"/>
      <c r="B116" s="18" t="s">
        <v>748</v>
      </c>
      <c r="C116" s="58"/>
      <c r="D116" s="58"/>
      <c r="E116" s="58">
        <v>172212</v>
      </c>
      <c r="F116" s="58">
        <v>172212</v>
      </c>
      <c r="G116" s="58">
        <v>172212</v>
      </c>
      <c r="H116" s="58">
        <v>172212</v>
      </c>
      <c r="I116" s="58">
        <v>172212</v>
      </c>
    </row>
    <row r="117" spans="1:9" s="36" customFormat="1" ht="12" customHeight="1" thickBot="1">
      <c r="A117" s="95" t="s">
        <v>443</v>
      </c>
      <c r="B117" s="96" t="s">
        <v>445</v>
      </c>
      <c r="C117" s="97">
        <v>29205578</v>
      </c>
      <c r="D117" s="97">
        <v>29205578</v>
      </c>
      <c r="E117" s="97">
        <f>29205578+8986168+1600000</f>
        <v>39791746</v>
      </c>
      <c r="F117" s="97">
        <f>29205578+8986168+1600000</f>
        <v>39791746</v>
      </c>
      <c r="G117" s="97">
        <f>29205578+8986168+1600000+10000000</f>
        <v>49791746</v>
      </c>
      <c r="H117" s="97">
        <f>49791746-27700000</f>
        <v>22091746</v>
      </c>
      <c r="I117" s="97">
        <f>49791746-27700000</f>
        <v>22091746</v>
      </c>
    </row>
    <row r="118" spans="1:9" s="36" customFormat="1" ht="12" customHeight="1" thickBot="1">
      <c r="A118" s="98" t="s">
        <v>17</v>
      </c>
      <c r="B118" s="99" t="s">
        <v>654</v>
      </c>
      <c r="C118" s="100">
        <f t="shared" ref="C118:H118" si="21">+C119+C121+C123</f>
        <v>490981959</v>
      </c>
      <c r="D118" s="100">
        <f t="shared" si="21"/>
        <v>490245359</v>
      </c>
      <c r="E118" s="100">
        <f t="shared" si="21"/>
        <v>488535474</v>
      </c>
      <c r="F118" s="100">
        <f t="shared" si="21"/>
        <v>488535474</v>
      </c>
      <c r="G118" s="100">
        <f t="shared" si="21"/>
        <v>488585474</v>
      </c>
      <c r="H118" s="100">
        <f t="shared" si="21"/>
        <v>498084764</v>
      </c>
      <c r="I118" s="100">
        <f>+I119+I121+I123</f>
        <v>498892764</v>
      </c>
    </row>
    <row r="119" spans="1:9" s="36" customFormat="1" ht="12" customHeight="1">
      <c r="A119" s="48" t="s">
        <v>101</v>
      </c>
      <c r="B119" s="18" t="s">
        <v>219</v>
      </c>
      <c r="C119" s="50">
        <f>369875414-15494000</f>
        <v>354381414</v>
      </c>
      <c r="D119" s="50">
        <f>369875414-15494000-635000-101600</f>
        <v>353644814</v>
      </c>
      <c r="E119" s="50">
        <f>353644814-13694572-6566274+9196991-1399405+6779509-946684-2746211-1911775-1441313</f>
        <v>340915080</v>
      </c>
      <c r="F119" s="50">
        <f>353644814-13694572-6566274+9196991-1399405+6779509-946684-2746211-1911775-1441313</f>
        <v>340915080</v>
      </c>
      <c r="G119" s="50">
        <f>353644814-13694572-6566274+9196991-1399405+6779509-946684-2746211-1911775-1441313</f>
        <v>340915080</v>
      </c>
      <c r="H119" s="50">
        <f>340915080+533400+635000</f>
        <v>342083480</v>
      </c>
      <c r="I119" s="50">
        <f>340915080+533400+635000</f>
        <v>342083480</v>
      </c>
    </row>
    <row r="120" spans="1:9" s="36" customFormat="1" ht="12" customHeight="1">
      <c r="A120" s="48" t="s">
        <v>102</v>
      </c>
      <c r="B120" s="101" t="s">
        <v>361</v>
      </c>
      <c r="C120" s="50"/>
      <c r="D120" s="50"/>
      <c r="E120" s="50"/>
      <c r="F120" s="50"/>
      <c r="G120" s="50"/>
      <c r="H120" s="50"/>
      <c r="I120" s="50"/>
    </row>
    <row r="121" spans="1:9" s="36" customFormat="1" ht="12" customHeight="1">
      <c r="A121" s="48" t="s">
        <v>103</v>
      </c>
      <c r="B121" s="101" t="s">
        <v>178</v>
      </c>
      <c r="C121" s="53">
        <f>142950545-6350000</f>
        <v>136600545</v>
      </c>
      <c r="D121" s="53">
        <f>142950545-6350000</f>
        <v>136600545</v>
      </c>
      <c r="E121" s="53">
        <f>136600545+5717922-9032376+13737230+597073</f>
        <v>147620394</v>
      </c>
      <c r="F121" s="53">
        <f>136600545+5717922-9032376+13737230+597073</f>
        <v>147620394</v>
      </c>
      <c r="G121" s="53">
        <f>136600545+5717922-9032376+13737230+597073</f>
        <v>147620394</v>
      </c>
      <c r="H121" s="53">
        <f>147620394+27700000-21143000+1773890</f>
        <v>155951284</v>
      </c>
      <c r="I121" s="53">
        <f>147620394+27700000-21143000+1773890+230000</f>
        <v>156181284</v>
      </c>
    </row>
    <row r="122" spans="1:9" s="36" customFormat="1" ht="12" customHeight="1">
      <c r="A122" s="48" t="s">
        <v>104</v>
      </c>
      <c r="B122" s="101" t="s">
        <v>362</v>
      </c>
      <c r="C122" s="102"/>
      <c r="D122" s="102"/>
      <c r="E122" s="102"/>
      <c r="F122" s="102"/>
      <c r="G122" s="102"/>
      <c r="H122" s="102"/>
      <c r="I122" s="102"/>
    </row>
    <row r="123" spans="1:9" s="36" customFormat="1" ht="12" customHeight="1">
      <c r="A123" s="48" t="s">
        <v>105</v>
      </c>
      <c r="B123" s="56" t="s">
        <v>222</v>
      </c>
      <c r="C123" s="102">
        <f t="shared" ref="C123:H123" si="22">C124+C125+C126+C127+C128+C129+C130+C131</f>
        <v>0</v>
      </c>
      <c r="D123" s="102">
        <f t="shared" si="22"/>
        <v>0</v>
      </c>
      <c r="E123" s="102">
        <f t="shared" si="22"/>
        <v>0</v>
      </c>
      <c r="F123" s="102">
        <f t="shared" si="22"/>
        <v>0</v>
      </c>
      <c r="G123" s="102">
        <f t="shared" si="22"/>
        <v>50000</v>
      </c>
      <c r="H123" s="102">
        <f t="shared" si="22"/>
        <v>50000</v>
      </c>
      <c r="I123" s="102">
        <f>I124+I125+I126+I127+I128+I129+I130+I131</f>
        <v>628000</v>
      </c>
    </row>
    <row r="124" spans="1:9" s="36" customFormat="1" ht="12" customHeight="1">
      <c r="A124" s="48" t="s">
        <v>114</v>
      </c>
      <c r="B124" s="54" t="s">
        <v>424</v>
      </c>
      <c r="C124" s="102"/>
      <c r="D124" s="102"/>
      <c r="E124" s="102"/>
      <c r="F124" s="102"/>
      <c r="G124" s="102"/>
      <c r="H124" s="102"/>
      <c r="I124" s="102"/>
    </row>
    <row r="125" spans="1:9" s="36" customFormat="1" ht="12" customHeight="1">
      <c r="A125" s="48" t="s">
        <v>116</v>
      </c>
      <c r="B125" s="103" t="s">
        <v>367</v>
      </c>
      <c r="C125" s="102"/>
      <c r="D125" s="102"/>
      <c r="E125" s="102"/>
      <c r="F125" s="102"/>
      <c r="G125" s="102"/>
      <c r="H125" s="102"/>
      <c r="I125" s="102"/>
    </row>
    <row r="126" spans="1:9" s="36" customFormat="1" ht="15.75">
      <c r="A126" s="48" t="s">
        <v>179</v>
      </c>
      <c r="B126" s="93" t="s">
        <v>351</v>
      </c>
      <c r="C126" s="102"/>
      <c r="D126" s="102"/>
      <c r="E126" s="102"/>
      <c r="F126" s="102"/>
      <c r="G126" s="102"/>
      <c r="H126" s="102"/>
      <c r="I126" s="102"/>
    </row>
    <row r="127" spans="1:9" s="36" customFormat="1" ht="12" customHeight="1">
      <c r="A127" s="48" t="s">
        <v>180</v>
      </c>
      <c r="B127" s="93" t="s">
        <v>366</v>
      </c>
      <c r="C127" s="102"/>
      <c r="D127" s="102"/>
      <c r="E127" s="102"/>
      <c r="F127" s="102"/>
      <c r="G127" s="102"/>
      <c r="H127" s="102"/>
      <c r="I127" s="102"/>
    </row>
    <row r="128" spans="1:9" s="36" customFormat="1" ht="12" customHeight="1">
      <c r="A128" s="48" t="s">
        <v>181</v>
      </c>
      <c r="B128" s="93" t="s">
        <v>365</v>
      </c>
      <c r="C128" s="102"/>
      <c r="D128" s="102"/>
      <c r="E128" s="102"/>
      <c r="F128" s="102"/>
      <c r="G128" s="102"/>
      <c r="H128" s="102"/>
      <c r="I128" s="102"/>
    </row>
    <row r="129" spans="1:9" s="36" customFormat="1" ht="12" customHeight="1">
      <c r="A129" s="48" t="s">
        <v>358</v>
      </c>
      <c r="B129" s="93" t="s">
        <v>354</v>
      </c>
      <c r="C129" s="102"/>
      <c r="D129" s="102"/>
      <c r="E129" s="102"/>
      <c r="F129" s="102"/>
      <c r="G129" s="102"/>
      <c r="H129" s="102"/>
      <c r="I129" s="102"/>
    </row>
    <row r="130" spans="1:9" s="36" customFormat="1" ht="12" customHeight="1">
      <c r="A130" s="48" t="s">
        <v>359</v>
      </c>
      <c r="B130" s="93" t="s">
        <v>364</v>
      </c>
      <c r="C130" s="102"/>
      <c r="D130" s="102"/>
      <c r="E130" s="102"/>
      <c r="F130" s="102"/>
      <c r="G130" s="102"/>
      <c r="H130" s="102"/>
      <c r="I130" s="102"/>
    </row>
    <row r="131" spans="1:9" s="36" customFormat="1" ht="16.5" thickBot="1">
      <c r="A131" s="94" t="s">
        <v>360</v>
      </c>
      <c r="B131" s="93" t="s">
        <v>363</v>
      </c>
      <c r="C131" s="104"/>
      <c r="D131" s="104"/>
      <c r="E131" s="104"/>
      <c r="F131" s="104"/>
      <c r="G131" s="104">
        <v>50000</v>
      </c>
      <c r="H131" s="104">
        <v>50000</v>
      </c>
      <c r="I131" s="104">
        <f>50000+578000</f>
        <v>628000</v>
      </c>
    </row>
    <row r="132" spans="1:9" s="36" customFormat="1" ht="12" customHeight="1" thickBot="1">
      <c r="A132" s="44" t="s">
        <v>18</v>
      </c>
      <c r="B132" s="21" t="s">
        <v>446</v>
      </c>
      <c r="C132" s="46">
        <f t="shared" ref="C132:H132" si="23">+C96+C118</f>
        <v>954953334</v>
      </c>
      <c r="D132" s="46">
        <f t="shared" si="23"/>
        <v>958413848</v>
      </c>
      <c r="E132" s="46">
        <f t="shared" si="23"/>
        <v>956285675</v>
      </c>
      <c r="F132" s="46">
        <f t="shared" si="23"/>
        <v>958785675</v>
      </c>
      <c r="G132" s="46">
        <f t="shared" si="23"/>
        <v>979593414</v>
      </c>
      <c r="H132" s="46">
        <f t="shared" si="23"/>
        <v>1011375848</v>
      </c>
      <c r="I132" s="46">
        <f>+I96+I118</f>
        <v>1019419288</v>
      </c>
    </row>
    <row r="133" spans="1:9" s="36" customFormat="1" ht="12" customHeight="1" thickBot="1">
      <c r="A133" s="44" t="s">
        <v>19</v>
      </c>
      <c r="B133" s="21" t="s">
        <v>447</v>
      </c>
      <c r="C133" s="46">
        <f t="shared" ref="C133:H133" si="24">+C134+C135+C136</f>
        <v>0</v>
      </c>
      <c r="D133" s="46">
        <f t="shared" si="24"/>
        <v>0</v>
      </c>
      <c r="E133" s="46">
        <f t="shared" si="24"/>
        <v>0</v>
      </c>
      <c r="F133" s="46">
        <f t="shared" si="24"/>
        <v>0</v>
      </c>
      <c r="G133" s="46">
        <f t="shared" si="24"/>
        <v>0</v>
      </c>
      <c r="H133" s="46">
        <f t="shared" si="24"/>
        <v>0</v>
      </c>
      <c r="I133" s="46">
        <f>+I134+I135+I136</f>
        <v>0</v>
      </c>
    </row>
    <row r="134" spans="1:9" s="36" customFormat="1" ht="12" customHeight="1">
      <c r="A134" s="48" t="s">
        <v>259</v>
      </c>
      <c r="B134" s="101" t="s">
        <v>454</v>
      </c>
      <c r="C134" s="102"/>
      <c r="D134" s="102"/>
      <c r="E134" s="102"/>
      <c r="F134" s="102"/>
      <c r="G134" s="102"/>
      <c r="H134" s="102"/>
      <c r="I134" s="102"/>
    </row>
    <row r="135" spans="1:9" s="36" customFormat="1" ht="12" customHeight="1">
      <c r="A135" s="48" t="s">
        <v>262</v>
      </c>
      <c r="B135" s="101" t="s">
        <v>455</v>
      </c>
      <c r="C135" s="102"/>
      <c r="D135" s="102"/>
      <c r="E135" s="102"/>
      <c r="F135" s="102"/>
      <c r="G135" s="102"/>
      <c r="H135" s="102"/>
      <c r="I135" s="102"/>
    </row>
    <row r="136" spans="1:9" s="36" customFormat="1" ht="12" customHeight="1" thickBot="1">
      <c r="A136" s="94" t="s">
        <v>263</v>
      </c>
      <c r="B136" s="101" t="s">
        <v>456</v>
      </c>
      <c r="C136" s="102"/>
      <c r="D136" s="102"/>
      <c r="E136" s="102"/>
      <c r="F136" s="102"/>
      <c r="G136" s="102"/>
      <c r="H136" s="102"/>
      <c r="I136" s="102"/>
    </row>
    <row r="137" spans="1:9" s="36" customFormat="1" ht="12" customHeight="1" thickBot="1">
      <c r="A137" s="44" t="s">
        <v>20</v>
      </c>
      <c r="B137" s="21" t="s">
        <v>448</v>
      </c>
      <c r="C137" s="46">
        <f t="shared" ref="C137:H137" si="25">SUM(C138:C143)</f>
        <v>0</v>
      </c>
      <c r="D137" s="46">
        <f t="shared" si="25"/>
        <v>0</v>
      </c>
      <c r="E137" s="46">
        <f t="shared" si="25"/>
        <v>0</v>
      </c>
      <c r="F137" s="46">
        <f t="shared" si="25"/>
        <v>0</v>
      </c>
      <c r="G137" s="46">
        <f t="shared" si="25"/>
        <v>0</v>
      </c>
      <c r="H137" s="46">
        <f t="shared" si="25"/>
        <v>0</v>
      </c>
      <c r="I137" s="46">
        <f>SUM(I138:I143)</f>
        <v>0</v>
      </c>
    </row>
    <row r="138" spans="1:9" s="36" customFormat="1" ht="12" customHeight="1">
      <c r="A138" s="48" t="s">
        <v>88</v>
      </c>
      <c r="B138" s="20" t="s">
        <v>457</v>
      </c>
      <c r="C138" s="102"/>
      <c r="D138" s="102"/>
      <c r="E138" s="102"/>
      <c r="F138" s="102"/>
      <c r="G138" s="102"/>
      <c r="H138" s="102"/>
      <c r="I138" s="102"/>
    </row>
    <row r="139" spans="1:9" s="36" customFormat="1" ht="12" customHeight="1">
      <c r="A139" s="48" t="s">
        <v>89</v>
      </c>
      <c r="B139" s="20" t="s">
        <v>449</v>
      </c>
      <c r="C139" s="102"/>
      <c r="D139" s="102"/>
      <c r="E139" s="102"/>
      <c r="F139" s="102"/>
      <c r="G139" s="102"/>
      <c r="H139" s="102"/>
      <c r="I139" s="102"/>
    </row>
    <row r="140" spans="1:9" s="36" customFormat="1" ht="12" customHeight="1">
      <c r="A140" s="48" t="s">
        <v>90</v>
      </c>
      <c r="B140" s="20" t="s">
        <v>450</v>
      </c>
      <c r="C140" s="102"/>
      <c r="D140" s="102"/>
      <c r="E140" s="102"/>
      <c r="F140" s="102"/>
      <c r="G140" s="102"/>
      <c r="H140" s="102"/>
      <c r="I140" s="102"/>
    </row>
    <row r="141" spans="1:9" s="36" customFormat="1" ht="12" customHeight="1">
      <c r="A141" s="48" t="s">
        <v>166</v>
      </c>
      <c r="B141" s="20" t="s">
        <v>451</v>
      </c>
      <c r="C141" s="102"/>
      <c r="D141" s="102"/>
      <c r="E141" s="102"/>
      <c r="F141" s="102"/>
      <c r="G141" s="102"/>
      <c r="H141" s="102"/>
      <c r="I141" s="102"/>
    </row>
    <row r="142" spans="1:9" s="36" customFormat="1" ht="12" customHeight="1">
      <c r="A142" s="48" t="s">
        <v>167</v>
      </c>
      <c r="B142" s="20" t="s">
        <v>452</v>
      </c>
      <c r="C142" s="102"/>
      <c r="D142" s="102"/>
      <c r="E142" s="102"/>
      <c r="F142" s="102"/>
      <c r="G142" s="102"/>
      <c r="H142" s="102"/>
      <c r="I142" s="102"/>
    </row>
    <row r="143" spans="1:9" s="36" customFormat="1" ht="12" customHeight="1" thickBot="1">
      <c r="A143" s="94" t="s">
        <v>168</v>
      </c>
      <c r="B143" s="20" t="s">
        <v>453</v>
      </c>
      <c r="C143" s="102"/>
      <c r="D143" s="102"/>
      <c r="E143" s="102"/>
      <c r="F143" s="102"/>
      <c r="G143" s="102"/>
      <c r="H143" s="102"/>
      <c r="I143" s="102"/>
    </row>
    <row r="144" spans="1:9" s="36" customFormat="1" ht="12" customHeight="1" thickBot="1">
      <c r="A144" s="44" t="s">
        <v>21</v>
      </c>
      <c r="B144" s="21" t="s">
        <v>461</v>
      </c>
      <c r="C144" s="60">
        <f t="shared" ref="C144:H144" si="26">+C145+C146+C147+C148</f>
        <v>7960578</v>
      </c>
      <c r="D144" s="60">
        <f t="shared" si="26"/>
        <v>8033142</v>
      </c>
      <c r="E144" s="60">
        <f t="shared" si="26"/>
        <v>8033142</v>
      </c>
      <c r="F144" s="60">
        <f t="shared" si="26"/>
        <v>8033142</v>
      </c>
      <c r="G144" s="60">
        <f t="shared" si="26"/>
        <v>8033142</v>
      </c>
      <c r="H144" s="60">
        <f t="shared" si="26"/>
        <v>8033142</v>
      </c>
      <c r="I144" s="60">
        <f>+I145+I146+I147+I148</f>
        <v>16140862</v>
      </c>
    </row>
    <row r="145" spans="1:9" s="36" customFormat="1" ht="12" customHeight="1">
      <c r="A145" s="48" t="s">
        <v>91</v>
      </c>
      <c r="B145" s="20" t="s">
        <v>368</v>
      </c>
      <c r="C145" s="102"/>
      <c r="D145" s="102"/>
      <c r="E145" s="102"/>
      <c r="F145" s="102"/>
      <c r="G145" s="102"/>
      <c r="H145" s="102"/>
      <c r="I145" s="102"/>
    </row>
    <row r="146" spans="1:9" s="36" customFormat="1" ht="12" customHeight="1">
      <c r="A146" s="48" t="s">
        <v>92</v>
      </c>
      <c r="B146" s="20" t="s">
        <v>369</v>
      </c>
      <c r="C146" s="102">
        <f>7960578</f>
        <v>7960578</v>
      </c>
      <c r="D146" s="102">
        <f>7960578+72564</f>
        <v>8033142</v>
      </c>
      <c r="E146" s="102">
        <f>7960578+72564</f>
        <v>8033142</v>
      </c>
      <c r="F146" s="102">
        <f>7960578+72564</f>
        <v>8033142</v>
      </c>
      <c r="G146" s="102">
        <f>7960578+72564</f>
        <v>8033142</v>
      </c>
      <c r="H146" s="102">
        <f>7960578+72564</f>
        <v>8033142</v>
      </c>
      <c r="I146" s="102">
        <f>7960578+72564+8107720</f>
        <v>16140862</v>
      </c>
    </row>
    <row r="147" spans="1:9" s="36" customFormat="1" ht="12" customHeight="1">
      <c r="A147" s="48" t="s">
        <v>283</v>
      </c>
      <c r="B147" s="20" t="s">
        <v>462</v>
      </c>
      <c r="C147" s="102"/>
      <c r="D147" s="102"/>
      <c r="E147" s="102"/>
      <c r="F147" s="102"/>
      <c r="G147" s="102"/>
      <c r="H147" s="102"/>
      <c r="I147" s="102"/>
    </row>
    <row r="148" spans="1:9" s="36" customFormat="1" ht="12" customHeight="1" thickBot="1">
      <c r="A148" s="94" t="s">
        <v>284</v>
      </c>
      <c r="B148" s="19" t="s">
        <v>388</v>
      </c>
      <c r="C148" s="102"/>
      <c r="D148" s="102"/>
      <c r="E148" s="102"/>
      <c r="F148" s="102"/>
      <c r="G148" s="102"/>
      <c r="H148" s="102"/>
      <c r="I148" s="102"/>
    </row>
    <row r="149" spans="1:9" s="36" customFormat="1" ht="12" customHeight="1" thickBot="1">
      <c r="A149" s="44" t="s">
        <v>22</v>
      </c>
      <c r="B149" s="21" t="s">
        <v>463</v>
      </c>
      <c r="C149" s="105">
        <f t="shared" ref="C149:H149" si="27">SUM(C150:C154)</f>
        <v>0</v>
      </c>
      <c r="D149" s="105">
        <f t="shared" si="27"/>
        <v>0</v>
      </c>
      <c r="E149" s="105">
        <f t="shared" si="27"/>
        <v>0</v>
      </c>
      <c r="F149" s="105">
        <f t="shared" si="27"/>
        <v>0</v>
      </c>
      <c r="G149" s="105">
        <f t="shared" si="27"/>
        <v>0</v>
      </c>
      <c r="H149" s="105">
        <f t="shared" si="27"/>
        <v>0</v>
      </c>
      <c r="I149" s="105">
        <f>SUM(I150:I154)</f>
        <v>0</v>
      </c>
    </row>
    <row r="150" spans="1:9" s="36" customFormat="1" ht="12" customHeight="1">
      <c r="A150" s="48" t="s">
        <v>93</v>
      </c>
      <c r="B150" s="20" t="s">
        <v>458</v>
      </c>
      <c r="C150" s="102"/>
      <c r="D150" s="102"/>
      <c r="E150" s="102"/>
      <c r="F150" s="102"/>
      <c r="G150" s="102"/>
      <c r="H150" s="102"/>
      <c r="I150" s="102"/>
    </row>
    <row r="151" spans="1:9" s="36" customFormat="1" ht="12" customHeight="1">
      <c r="A151" s="48" t="s">
        <v>94</v>
      </c>
      <c r="B151" s="20" t="s">
        <v>465</v>
      </c>
      <c r="C151" s="102"/>
      <c r="D151" s="102"/>
      <c r="E151" s="102"/>
      <c r="F151" s="102"/>
      <c r="G151" s="102"/>
      <c r="H151" s="102"/>
      <c r="I151" s="102"/>
    </row>
    <row r="152" spans="1:9" s="36" customFormat="1" ht="12" customHeight="1">
      <c r="A152" s="48" t="s">
        <v>295</v>
      </c>
      <c r="B152" s="20" t="s">
        <v>460</v>
      </c>
      <c r="C152" s="102"/>
      <c r="D152" s="102"/>
      <c r="E152" s="102"/>
      <c r="F152" s="102"/>
      <c r="G152" s="102"/>
      <c r="H152" s="102"/>
      <c r="I152" s="102"/>
    </row>
    <row r="153" spans="1:9" s="36" customFormat="1" ht="12" customHeight="1">
      <c r="A153" s="48" t="s">
        <v>296</v>
      </c>
      <c r="B153" s="20" t="s">
        <v>466</v>
      </c>
      <c r="C153" s="102"/>
      <c r="D153" s="102"/>
      <c r="E153" s="102"/>
      <c r="F153" s="102"/>
      <c r="G153" s="102"/>
      <c r="H153" s="102"/>
      <c r="I153" s="102"/>
    </row>
    <row r="154" spans="1:9" s="36" customFormat="1" ht="12" customHeight="1" thickBot="1">
      <c r="A154" s="48" t="s">
        <v>464</v>
      </c>
      <c r="B154" s="20" t="s">
        <v>467</v>
      </c>
      <c r="C154" s="102"/>
      <c r="D154" s="102"/>
      <c r="E154" s="102"/>
      <c r="F154" s="102"/>
      <c r="G154" s="102"/>
      <c r="H154" s="102"/>
      <c r="I154" s="102"/>
    </row>
    <row r="155" spans="1:9" s="36" customFormat="1" ht="12" customHeight="1" thickBot="1">
      <c r="A155" s="44" t="s">
        <v>23</v>
      </c>
      <c r="B155" s="21" t="s">
        <v>468</v>
      </c>
      <c r="C155" s="106"/>
      <c r="D155" s="106"/>
      <c r="E155" s="106"/>
      <c r="F155" s="106"/>
      <c r="G155" s="106"/>
      <c r="H155" s="106"/>
      <c r="I155" s="106"/>
    </row>
    <row r="156" spans="1:9" s="36" customFormat="1" ht="12" customHeight="1" thickBot="1">
      <c r="A156" s="44" t="s">
        <v>24</v>
      </c>
      <c r="B156" s="21" t="s">
        <v>543</v>
      </c>
      <c r="C156" s="106">
        <f>161906950</f>
        <v>161906950</v>
      </c>
      <c r="D156" s="106">
        <f>161906950</f>
        <v>161906950</v>
      </c>
      <c r="E156" s="106">
        <f>161906950+411269+605530-782302</f>
        <v>162141447</v>
      </c>
      <c r="F156" s="106">
        <f>161906950+411269+605530-782302</f>
        <v>162141447</v>
      </c>
      <c r="G156" s="106">
        <f>161906950+411269+605530-782302-290000+1099400+540000+1075500</f>
        <v>164566347</v>
      </c>
      <c r="H156" s="106">
        <f>164566347-15000-130000</f>
        <v>164421347</v>
      </c>
      <c r="I156" s="106">
        <f>164566347-15000-255000</f>
        <v>164296347</v>
      </c>
    </row>
    <row r="157" spans="1:9" s="36" customFormat="1" ht="15" customHeight="1" thickBot="1">
      <c r="A157" s="44" t="s">
        <v>25</v>
      </c>
      <c r="B157" s="21" t="s">
        <v>471</v>
      </c>
      <c r="C157" s="107">
        <f t="shared" ref="C157:H157" si="28">+C133+C137+C144+C149+C155+C156</f>
        <v>169867528</v>
      </c>
      <c r="D157" s="107">
        <f t="shared" si="28"/>
        <v>169940092</v>
      </c>
      <c r="E157" s="107">
        <f t="shared" si="28"/>
        <v>170174589</v>
      </c>
      <c r="F157" s="107">
        <f t="shared" si="28"/>
        <v>170174589</v>
      </c>
      <c r="G157" s="107">
        <f t="shared" si="28"/>
        <v>172599489</v>
      </c>
      <c r="H157" s="107">
        <f t="shared" si="28"/>
        <v>172454489</v>
      </c>
      <c r="I157" s="107">
        <f>+I133+I137+I144+I149+I155+I156</f>
        <v>180437209</v>
      </c>
    </row>
    <row r="158" spans="1:9" s="47" customFormat="1" ht="12.95" customHeight="1" thickBot="1">
      <c r="A158" s="109" t="s">
        <v>26</v>
      </c>
      <c r="B158" s="110" t="s">
        <v>470</v>
      </c>
      <c r="C158" s="107">
        <f t="shared" ref="C158:H158" si="29">+C132+C157</f>
        <v>1124820862</v>
      </c>
      <c r="D158" s="107">
        <f t="shared" si="29"/>
        <v>1128353940</v>
      </c>
      <c r="E158" s="107">
        <f t="shared" si="29"/>
        <v>1126460264</v>
      </c>
      <c r="F158" s="107">
        <f t="shared" si="29"/>
        <v>1128960264</v>
      </c>
      <c r="G158" s="107">
        <f t="shared" si="29"/>
        <v>1152192903</v>
      </c>
      <c r="H158" s="107">
        <f t="shared" si="29"/>
        <v>1183830337</v>
      </c>
      <c r="I158" s="107">
        <f>+I132+I157</f>
        <v>1199856497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4" orientation="landscape" verticalDpi="300" r:id="rId1"/>
  <headerFooter alignWithMargins="0">
    <oddFooter>&amp;P. oldal, összesen: &amp;N</oddFooter>
  </headerFooter>
  <rowBreaks count="4" manualBreakCount="4">
    <brk id="37" max="16383" man="1"/>
    <brk id="65" max="16383" man="1"/>
    <brk id="90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I157"/>
  <sheetViews>
    <sheetView zoomScale="98" zoomScaleNormal="98" zoomScaleSheetLayoutView="85" workbookViewId="0">
      <selection activeCell="B1" sqref="B1"/>
    </sheetView>
  </sheetViews>
  <sheetFormatPr defaultRowHeight="12.75"/>
  <cols>
    <col min="1" max="1" width="11.6640625" style="31" customWidth="1"/>
    <col min="2" max="2" width="72" style="10" customWidth="1"/>
    <col min="3" max="9" width="25" style="32" customWidth="1"/>
    <col min="10" max="16384" width="9.33203125" style="121"/>
  </cols>
  <sheetData>
    <row r="1" spans="1:9" s="113" customFormat="1" ht="16.5" customHeight="1" thickBot="1">
      <c r="A1" s="1"/>
      <c r="B1" s="114" t="s">
        <v>792</v>
      </c>
      <c r="C1" s="114"/>
      <c r="D1" s="114"/>
      <c r="E1" s="114"/>
      <c r="F1" s="114"/>
      <c r="G1" s="114"/>
      <c r="H1" s="114"/>
      <c r="I1" s="114"/>
    </row>
    <row r="2" spans="1:9" s="116" customFormat="1" ht="21" customHeight="1">
      <c r="A2" s="2" t="s">
        <v>58</v>
      </c>
      <c r="B2" s="3" t="s">
        <v>537</v>
      </c>
      <c r="C2" s="115" t="s">
        <v>51</v>
      </c>
      <c r="D2" s="115" t="s">
        <v>51</v>
      </c>
      <c r="E2" s="115" t="s">
        <v>51</v>
      </c>
      <c r="F2" s="115" t="s">
        <v>51</v>
      </c>
      <c r="G2" s="115" t="s">
        <v>51</v>
      </c>
      <c r="H2" s="115" t="s">
        <v>51</v>
      </c>
      <c r="I2" s="115" t="s">
        <v>51</v>
      </c>
    </row>
    <row r="3" spans="1:9" s="116" customFormat="1" ht="16.5" thickBot="1">
      <c r="A3" s="117" t="s">
        <v>193</v>
      </c>
      <c r="B3" s="4" t="s">
        <v>426</v>
      </c>
      <c r="C3" s="118" t="s">
        <v>57</v>
      </c>
      <c r="D3" s="118" t="s">
        <v>57</v>
      </c>
      <c r="E3" s="118" t="s">
        <v>57</v>
      </c>
      <c r="F3" s="118" t="s">
        <v>57</v>
      </c>
      <c r="G3" s="118" t="s">
        <v>57</v>
      </c>
      <c r="H3" s="118" t="s">
        <v>57</v>
      </c>
      <c r="I3" s="118" t="s">
        <v>57</v>
      </c>
    </row>
    <row r="4" spans="1:9" s="119" customFormat="1" ht="15.95" customHeight="1" thickBot="1">
      <c r="A4" s="5"/>
      <c r="B4" s="5"/>
      <c r="C4" s="6" t="s">
        <v>588</v>
      </c>
      <c r="D4" s="6" t="s">
        <v>588</v>
      </c>
      <c r="E4" s="6" t="s">
        <v>588</v>
      </c>
      <c r="F4" s="6" t="s">
        <v>588</v>
      </c>
      <c r="G4" s="6" t="s">
        <v>588</v>
      </c>
      <c r="H4" s="6" t="s">
        <v>588</v>
      </c>
      <c r="I4" s="6" t="s">
        <v>588</v>
      </c>
    </row>
    <row r="5" spans="1:9" ht="13.5" thickBot="1">
      <c r="A5" s="7" t="s">
        <v>195</v>
      </c>
      <c r="B5" s="8" t="s">
        <v>52</v>
      </c>
      <c r="C5" s="528"/>
      <c r="D5" s="528"/>
      <c r="E5" s="528"/>
      <c r="F5" s="528"/>
      <c r="G5" s="528"/>
      <c r="H5" s="528"/>
      <c r="I5" s="528"/>
    </row>
    <row r="6" spans="1:9" s="36" customFormat="1" ht="38.1" customHeight="1" thickBot="1">
      <c r="A6" s="38" t="s">
        <v>66</v>
      </c>
      <c r="B6" s="39" t="s">
        <v>15</v>
      </c>
      <c r="C6" s="120" t="s">
        <v>687</v>
      </c>
      <c r="D6" s="270" t="s">
        <v>738</v>
      </c>
      <c r="E6" s="270" t="s">
        <v>743</v>
      </c>
      <c r="F6" s="270" t="s">
        <v>758</v>
      </c>
      <c r="G6" s="270" t="s">
        <v>760</v>
      </c>
      <c r="H6" s="270" t="s">
        <v>773</v>
      </c>
      <c r="I6" s="270" t="s">
        <v>780</v>
      </c>
    </row>
    <row r="7" spans="1:9" s="43" customFormat="1" ht="12" customHeight="1" thickBot="1">
      <c r="A7" s="40" t="s">
        <v>485</v>
      </c>
      <c r="B7" s="41" t="s">
        <v>486</v>
      </c>
      <c r="C7" s="42" t="s">
        <v>487</v>
      </c>
      <c r="D7" s="42" t="s">
        <v>487</v>
      </c>
      <c r="E7" s="42" t="s">
        <v>487</v>
      </c>
      <c r="F7" s="42" t="s">
        <v>487</v>
      </c>
      <c r="G7" s="42" t="s">
        <v>487</v>
      </c>
      <c r="H7" s="42" t="s">
        <v>487</v>
      </c>
      <c r="I7" s="42" t="s">
        <v>487</v>
      </c>
    </row>
    <row r="8" spans="1:9" s="47" customFormat="1" ht="12" customHeight="1" thickBot="1">
      <c r="A8" s="44" t="s">
        <v>16</v>
      </c>
      <c r="B8" s="45" t="s">
        <v>243</v>
      </c>
      <c r="C8" s="46">
        <f t="shared" ref="C8:H8" si="0">+C9+C10+C11+C12+C13+C14</f>
        <v>0</v>
      </c>
      <c r="D8" s="46">
        <f t="shared" si="0"/>
        <v>0</v>
      </c>
      <c r="E8" s="46">
        <f t="shared" si="0"/>
        <v>0</v>
      </c>
      <c r="F8" s="46">
        <f t="shared" si="0"/>
        <v>0</v>
      </c>
      <c r="G8" s="46">
        <f t="shared" si="0"/>
        <v>0</v>
      </c>
      <c r="H8" s="46">
        <f t="shared" si="0"/>
        <v>0</v>
      </c>
      <c r="I8" s="46">
        <f>+I9+I10+I11+I12+I13+I14</f>
        <v>0</v>
      </c>
    </row>
    <row r="9" spans="1:9" s="47" customFormat="1" ht="12" customHeight="1">
      <c r="A9" s="48" t="s">
        <v>95</v>
      </c>
      <c r="B9" s="49" t="s">
        <v>244</v>
      </c>
      <c r="C9" s="50"/>
      <c r="D9" s="50"/>
      <c r="E9" s="50"/>
      <c r="F9" s="50"/>
      <c r="G9" s="50"/>
      <c r="H9" s="50"/>
      <c r="I9" s="50"/>
    </row>
    <row r="10" spans="1:9" s="47" customFormat="1" ht="12" customHeight="1">
      <c r="A10" s="51" t="s">
        <v>96</v>
      </c>
      <c r="B10" s="52" t="s">
        <v>245</v>
      </c>
      <c r="C10" s="53"/>
      <c r="D10" s="53"/>
      <c r="E10" s="53"/>
      <c r="F10" s="53"/>
      <c r="G10" s="53"/>
      <c r="H10" s="53"/>
      <c r="I10" s="53"/>
    </row>
    <row r="11" spans="1:9" s="47" customFormat="1" ht="12" customHeight="1">
      <c r="A11" s="51" t="s">
        <v>97</v>
      </c>
      <c r="B11" s="52" t="s">
        <v>246</v>
      </c>
      <c r="C11" s="53"/>
      <c r="D11" s="53"/>
      <c r="E11" s="53"/>
      <c r="F11" s="53"/>
      <c r="G11" s="53"/>
      <c r="H11" s="53"/>
      <c r="I11" s="53"/>
    </row>
    <row r="12" spans="1:9" s="47" customFormat="1" ht="12" customHeight="1">
      <c r="A12" s="51" t="s">
        <v>98</v>
      </c>
      <c r="B12" s="52" t="s">
        <v>247</v>
      </c>
      <c r="C12" s="53"/>
      <c r="D12" s="53"/>
      <c r="E12" s="53"/>
      <c r="F12" s="53"/>
      <c r="G12" s="53"/>
      <c r="H12" s="53"/>
      <c r="I12" s="53"/>
    </row>
    <row r="13" spans="1:9" s="47" customFormat="1" ht="12" customHeight="1">
      <c r="A13" s="51" t="s">
        <v>141</v>
      </c>
      <c r="B13" s="54" t="s">
        <v>428</v>
      </c>
      <c r="C13" s="53"/>
      <c r="D13" s="53"/>
      <c r="E13" s="53"/>
      <c r="F13" s="53"/>
      <c r="G13" s="53"/>
      <c r="H13" s="53"/>
      <c r="I13" s="53"/>
    </row>
    <row r="14" spans="1:9" s="47" customFormat="1" ht="12" customHeight="1" thickBot="1">
      <c r="A14" s="55" t="s">
        <v>99</v>
      </c>
      <c r="B14" s="56" t="s">
        <v>429</v>
      </c>
      <c r="C14" s="53"/>
      <c r="D14" s="53"/>
      <c r="E14" s="53"/>
      <c r="F14" s="53"/>
      <c r="G14" s="53"/>
      <c r="H14" s="53"/>
      <c r="I14" s="53"/>
    </row>
    <row r="15" spans="1:9" s="47" customFormat="1" ht="12" customHeight="1" thickBot="1">
      <c r="A15" s="44" t="s">
        <v>17</v>
      </c>
      <c r="B15" s="57" t="s">
        <v>248</v>
      </c>
      <c r="C15" s="46">
        <f t="shared" ref="C15:H15" si="1">+C16+C17+C18+C19+C20</f>
        <v>0</v>
      </c>
      <c r="D15" s="46">
        <f t="shared" si="1"/>
        <v>0</v>
      </c>
      <c r="E15" s="46">
        <f t="shared" si="1"/>
        <v>0</v>
      </c>
      <c r="F15" s="46">
        <f t="shared" si="1"/>
        <v>0</v>
      </c>
      <c r="G15" s="46">
        <f t="shared" si="1"/>
        <v>0</v>
      </c>
      <c r="H15" s="46">
        <f t="shared" si="1"/>
        <v>0</v>
      </c>
      <c r="I15" s="46">
        <f>+I16+I17+I18+I19+I20</f>
        <v>0</v>
      </c>
    </row>
    <row r="16" spans="1:9" s="47" customFormat="1" ht="12" customHeight="1">
      <c r="A16" s="48" t="s">
        <v>101</v>
      </c>
      <c r="B16" s="49" t="s">
        <v>249</v>
      </c>
      <c r="C16" s="50"/>
      <c r="D16" s="50"/>
      <c r="E16" s="50"/>
      <c r="F16" s="50"/>
      <c r="G16" s="50"/>
      <c r="H16" s="50"/>
      <c r="I16" s="50"/>
    </row>
    <row r="17" spans="1:9" s="47" customFormat="1" ht="12" customHeight="1">
      <c r="A17" s="51" t="s">
        <v>102</v>
      </c>
      <c r="B17" s="52" t="s">
        <v>250</v>
      </c>
      <c r="C17" s="53"/>
      <c r="D17" s="53"/>
      <c r="E17" s="53"/>
      <c r="F17" s="53"/>
      <c r="G17" s="53"/>
      <c r="H17" s="53"/>
      <c r="I17" s="53"/>
    </row>
    <row r="18" spans="1:9" s="47" customFormat="1" ht="12" customHeight="1">
      <c r="A18" s="51" t="s">
        <v>103</v>
      </c>
      <c r="B18" s="52" t="s">
        <v>418</v>
      </c>
      <c r="C18" s="53"/>
      <c r="D18" s="53"/>
      <c r="E18" s="53"/>
      <c r="F18" s="53"/>
      <c r="G18" s="53"/>
      <c r="H18" s="53"/>
      <c r="I18" s="53"/>
    </row>
    <row r="19" spans="1:9" s="47" customFormat="1" ht="12" customHeight="1">
      <c r="A19" s="51" t="s">
        <v>104</v>
      </c>
      <c r="B19" s="52" t="s">
        <v>419</v>
      </c>
      <c r="C19" s="53"/>
      <c r="D19" s="53"/>
      <c r="E19" s="53"/>
      <c r="F19" s="53"/>
      <c r="G19" s="53"/>
      <c r="H19" s="53"/>
      <c r="I19" s="53"/>
    </row>
    <row r="20" spans="1:9" s="47" customFormat="1" ht="12" customHeight="1">
      <c r="A20" s="51" t="s">
        <v>105</v>
      </c>
      <c r="B20" s="52" t="s">
        <v>251</v>
      </c>
      <c r="C20" s="53"/>
      <c r="D20" s="53"/>
      <c r="E20" s="53"/>
      <c r="F20" s="53"/>
      <c r="G20" s="53"/>
      <c r="H20" s="53"/>
      <c r="I20" s="53"/>
    </row>
    <row r="21" spans="1:9" s="47" customFormat="1" ht="12" customHeight="1" thickBot="1">
      <c r="A21" s="55" t="s">
        <v>114</v>
      </c>
      <c r="B21" s="56" t="s">
        <v>252</v>
      </c>
      <c r="C21" s="58"/>
      <c r="D21" s="58"/>
      <c r="E21" s="58"/>
      <c r="F21" s="58"/>
      <c r="G21" s="58"/>
      <c r="H21" s="58"/>
      <c r="I21" s="58"/>
    </row>
    <row r="22" spans="1:9" s="47" customFormat="1" ht="12" customHeight="1" thickBot="1">
      <c r="A22" s="44" t="s">
        <v>18</v>
      </c>
      <c r="B22" s="45" t="s">
        <v>253</v>
      </c>
      <c r="C22" s="46">
        <f t="shared" ref="C22:H22" si="2">+C23+C24+C25+C26+C27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>+I23+I24+I25+I26+I27</f>
        <v>0</v>
      </c>
    </row>
    <row r="23" spans="1:9" s="47" customFormat="1" ht="12" customHeight="1">
      <c r="A23" s="48" t="s">
        <v>84</v>
      </c>
      <c r="B23" s="49" t="s">
        <v>254</v>
      </c>
      <c r="C23" s="50"/>
      <c r="D23" s="50"/>
      <c r="E23" s="50"/>
      <c r="F23" s="50"/>
      <c r="G23" s="50"/>
      <c r="H23" s="50"/>
      <c r="I23" s="50"/>
    </row>
    <row r="24" spans="1:9" s="47" customFormat="1" ht="12" customHeight="1">
      <c r="A24" s="51" t="s">
        <v>85</v>
      </c>
      <c r="B24" s="52" t="s">
        <v>255</v>
      </c>
      <c r="C24" s="53"/>
      <c r="D24" s="53"/>
      <c r="E24" s="53"/>
      <c r="F24" s="53"/>
      <c r="G24" s="53"/>
      <c r="H24" s="53"/>
      <c r="I24" s="53"/>
    </row>
    <row r="25" spans="1:9" s="47" customFormat="1" ht="12" customHeight="1">
      <c r="A25" s="51" t="s">
        <v>86</v>
      </c>
      <c r="B25" s="52" t="s">
        <v>420</v>
      </c>
      <c r="C25" s="53"/>
      <c r="D25" s="53"/>
      <c r="E25" s="53"/>
      <c r="F25" s="53"/>
      <c r="G25" s="53"/>
      <c r="H25" s="53"/>
      <c r="I25" s="53"/>
    </row>
    <row r="26" spans="1:9" s="47" customFormat="1" ht="12" customHeight="1">
      <c r="A26" s="51" t="s">
        <v>87</v>
      </c>
      <c r="B26" s="52" t="s">
        <v>421</v>
      </c>
      <c r="C26" s="53"/>
      <c r="D26" s="53"/>
      <c r="E26" s="53"/>
      <c r="F26" s="53"/>
      <c r="G26" s="53"/>
      <c r="H26" s="53"/>
      <c r="I26" s="53"/>
    </row>
    <row r="27" spans="1:9" s="47" customFormat="1" ht="12" customHeight="1">
      <c r="A27" s="51" t="s">
        <v>162</v>
      </c>
      <c r="B27" s="52" t="s">
        <v>256</v>
      </c>
      <c r="C27" s="53"/>
      <c r="D27" s="53"/>
      <c r="E27" s="53"/>
      <c r="F27" s="53"/>
      <c r="G27" s="53"/>
      <c r="H27" s="53"/>
      <c r="I27" s="53"/>
    </row>
    <row r="28" spans="1:9" s="47" customFormat="1" ht="12" customHeight="1" thickBot="1">
      <c r="A28" s="55" t="s">
        <v>163</v>
      </c>
      <c r="B28" s="59" t="s">
        <v>257</v>
      </c>
      <c r="C28" s="58"/>
      <c r="D28" s="58"/>
      <c r="E28" s="58"/>
      <c r="F28" s="58"/>
      <c r="G28" s="58"/>
      <c r="H28" s="58"/>
      <c r="I28" s="58"/>
    </row>
    <row r="29" spans="1:9" s="47" customFormat="1" ht="12" customHeight="1" thickBot="1">
      <c r="A29" s="44" t="s">
        <v>164</v>
      </c>
      <c r="B29" s="45" t="s">
        <v>258</v>
      </c>
      <c r="C29" s="60">
        <f t="shared" ref="C29:H29" si="3">+C30+C34+C35+C36</f>
        <v>0</v>
      </c>
      <c r="D29" s="60">
        <f t="shared" si="3"/>
        <v>0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0">
        <f>+I30+I34+I35+I36</f>
        <v>0</v>
      </c>
    </row>
    <row r="30" spans="1:9" s="47" customFormat="1" ht="12" customHeight="1">
      <c r="A30" s="48" t="s">
        <v>259</v>
      </c>
      <c r="B30" s="124" t="s">
        <v>435</v>
      </c>
      <c r="C30" s="61">
        <f t="shared" ref="C30:H30" si="4">C31+C32+C33</f>
        <v>0</v>
      </c>
      <c r="D30" s="61">
        <f t="shared" si="4"/>
        <v>0</v>
      </c>
      <c r="E30" s="61">
        <f t="shared" si="4"/>
        <v>0</v>
      </c>
      <c r="F30" s="61">
        <f t="shared" si="4"/>
        <v>0</v>
      </c>
      <c r="G30" s="61">
        <f t="shared" si="4"/>
        <v>0</v>
      </c>
      <c r="H30" s="61">
        <f t="shared" si="4"/>
        <v>0</v>
      </c>
      <c r="I30" s="61">
        <f>I31+I32+I33</f>
        <v>0</v>
      </c>
    </row>
    <row r="31" spans="1:9" s="47" customFormat="1" ht="12" customHeight="1">
      <c r="A31" s="51" t="s">
        <v>260</v>
      </c>
      <c r="B31" s="125" t="s">
        <v>603</v>
      </c>
      <c r="C31" s="53"/>
      <c r="D31" s="53"/>
      <c r="E31" s="53"/>
      <c r="F31" s="53"/>
      <c r="G31" s="53"/>
      <c r="H31" s="53"/>
      <c r="I31" s="53"/>
    </row>
    <row r="32" spans="1:9" s="47" customFormat="1" ht="12" customHeight="1">
      <c r="A32" s="51" t="s">
        <v>261</v>
      </c>
      <c r="B32" s="125" t="s">
        <v>604</v>
      </c>
      <c r="C32" s="53"/>
      <c r="D32" s="53"/>
      <c r="E32" s="53"/>
      <c r="F32" s="53"/>
      <c r="G32" s="53"/>
      <c r="H32" s="53"/>
      <c r="I32" s="53"/>
    </row>
    <row r="33" spans="1:9" s="47" customFormat="1" ht="12" customHeight="1">
      <c r="A33" s="51" t="s">
        <v>433</v>
      </c>
      <c r="B33" s="126" t="s">
        <v>434</v>
      </c>
      <c r="C33" s="53">
        <f t="shared" ref="C33:I33" si="5">3003069-3000000-3069</f>
        <v>0</v>
      </c>
      <c r="D33" s="53">
        <f t="shared" si="5"/>
        <v>0</v>
      </c>
      <c r="E33" s="53">
        <f t="shared" si="5"/>
        <v>0</v>
      </c>
      <c r="F33" s="53">
        <f t="shared" si="5"/>
        <v>0</v>
      </c>
      <c r="G33" s="53">
        <f t="shared" si="5"/>
        <v>0</v>
      </c>
      <c r="H33" s="53">
        <f t="shared" si="5"/>
        <v>0</v>
      </c>
      <c r="I33" s="53">
        <f t="shared" si="5"/>
        <v>0</v>
      </c>
    </row>
    <row r="34" spans="1:9" s="47" customFormat="1" ht="12" customHeight="1">
      <c r="A34" s="51" t="s">
        <v>262</v>
      </c>
      <c r="B34" s="125" t="s">
        <v>267</v>
      </c>
      <c r="C34" s="53"/>
      <c r="D34" s="53"/>
      <c r="E34" s="53"/>
      <c r="F34" s="53"/>
      <c r="G34" s="53"/>
      <c r="H34" s="53"/>
      <c r="I34" s="53"/>
    </row>
    <row r="35" spans="1:9" s="47" customFormat="1" ht="12" customHeight="1">
      <c r="A35" s="51" t="s">
        <v>263</v>
      </c>
      <c r="B35" s="125" t="s">
        <v>581</v>
      </c>
      <c r="C35" s="53"/>
      <c r="D35" s="53"/>
      <c r="E35" s="53"/>
      <c r="F35" s="53"/>
      <c r="G35" s="53"/>
      <c r="H35" s="53"/>
      <c r="I35" s="53"/>
    </row>
    <row r="36" spans="1:9" s="47" customFormat="1" ht="12" customHeight="1" thickBot="1">
      <c r="A36" s="55" t="s">
        <v>264</v>
      </c>
      <c r="B36" s="127" t="s">
        <v>269</v>
      </c>
      <c r="C36" s="58"/>
      <c r="D36" s="58"/>
      <c r="E36" s="58"/>
      <c r="F36" s="58"/>
      <c r="G36" s="58"/>
      <c r="H36" s="58"/>
      <c r="I36" s="58"/>
    </row>
    <row r="37" spans="1:9" s="47" customFormat="1" ht="12" customHeight="1" thickBot="1">
      <c r="A37" s="44" t="s">
        <v>20</v>
      </c>
      <c r="B37" s="45" t="s">
        <v>430</v>
      </c>
      <c r="C37" s="46">
        <f t="shared" ref="C37:H37" si="6">SUM(C38:C48)</f>
        <v>98776182.030000001</v>
      </c>
      <c r="D37" s="46">
        <f t="shared" si="6"/>
        <v>98776182.030000001</v>
      </c>
      <c r="E37" s="46">
        <f t="shared" si="6"/>
        <v>107347927</v>
      </c>
      <c r="F37" s="46">
        <f t="shared" si="6"/>
        <v>107347927</v>
      </c>
      <c r="G37" s="46">
        <f t="shared" si="6"/>
        <v>121860759</v>
      </c>
      <c r="H37" s="46">
        <f t="shared" si="6"/>
        <v>119311869</v>
      </c>
      <c r="I37" s="46">
        <f>SUM(I38:I48)</f>
        <v>119311869</v>
      </c>
    </row>
    <row r="38" spans="1:9" s="47" customFormat="1" ht="12" customHeight="1">
      <c r="A38" s="48" t="s">
        <v>88</v>
      </c>
      <c r="B38" s="49" t="s">
        <v>272</v>
      </c>
      <c r="C38" s="50"/>
      <c r="D38" s="50"/>
      <c r="E38" s="50"/>
      <c r="F38" s="50"/>
      <c r="G38" s="50"/>
      <c r="H38" s="50"/>
      <c r="I38" s="50"/>
    </row>
    <row r="39" spans="1:9" s="47" customFormat="1" ht="12" customHeight="1">
      <c r="A39" s="51" t="s">
        <v>89</v>
      </c>
      <c r="B39" s="52" t="s">
        <v>273</v>
      </c>
      <c r="C39" s="53">
        <f>70000000+8683416+314173+576000</f>
        <v>79573589</v>
      </c>
      <c r="D39" s="53">
        <f>70000000+8683416+314173+576000</f>
        <v>79573589</v>
      </c>
      <c r="E39" s="53">
        <f>70000000+8683416+314173+576000+2441752+787402+150000+2184252+1186000</f>
        <v>86322995</v>
      </c>
      <c r="F39" s="53">
        <f>70000000+8683416+314173+576000+2441752+787402+150000+2184252+1186000</f>
        <v>86322995</v>
      </c>
      <c r="G39" s="53">
        <f>70000000+8683416+314173+576000+2441752+787402+150000+2184252+1186000+6350000+962832</f>
        <v>93635827</v>
      </c>
      <c r="H39" s="53">
        <f>70000000+8683416+314173+576000+2441752+787402+150000+2184252+1186000+6350000+962832-1913890-635000</f>
        <v>91086937</v>
      </c>
      <c r="I39" s="53">
        <f>70000000+8683416+314173+576000+2441752+787402+150000+2184252+1186000+6350000+962832-1913890-635000</f>
        <v>91086937</v>
      </c>
    </row>
    <row r="40" spans="1:9" s="47" customFormat="1" ht="12" customHeight="1">
      <c r="A40" s="51" t="s">
        <v>90</v>
      </c>
      <c r="B40" s="52" t="s">
        <v>274</v>
      </c>
      <c r="C40" s="53"/>
      <c r="D40" s="53"/>
      <c r="E40" s="53"/>
      <c r="F40" s="53"/>
      <c r="G40" s="53"/>
      <c r="H40" s="53"/>
      <c r="I40" s="53"/>
    </row>
    <row r="41" spans="1:9" s="47" customFormat="1" ht="12" customHeight="1">
      <c r="A41" s="51" t="s">
        <v>166</v>
      </c>
      <c r="B41" s="52" t="s">
        <v>275</v>
      </c>
      <c r="C41" s="53"/>
      <c r="D41" s="53"/>
      <c r="E41" s="53"/>
      <c r="F41" s="53"/>
      <c r="G41" s="53"/>
      <c r="H41" s="53"/>
      <c r="I41" s="53"/>
    </row>
    <row r="42" spans="1:9" s="47" customFormat="1" ht="12" customHeight="1">
      <c r="A42" s="51" t="s">
        <v>167</v>
      </c>
      <c r="B42" s="52" t="s">
        <v>276</v>
      </c>
      <c r="C42" s="53"/>
      <c r="D42" s="53"/>
      <c r="E42" s="53"/>
      <c r="F42" s="53"/>
      <c r="G42" s="53"/>
      <c r="H42" s="53"/>
      <c r="I42" s="53"/>
    </row>
    <row r="43" spans="1:9" s="47" customFormat="1" ht="12" customHeight="1">
      <c r="A43" s="51" t="s">
        <v>168</v>
      </c>
      <c r="B43" s="52" t="s">
        <v>277</v>
      </c>
      <c r="C43" s="53">
        <f>C39*0.27-2282276</f>
        <v>19202593.030000001</v>
      </c>
      <c r="D43" s="53">
        <f>D39*0.27-2282276</f>
        <v>19202593.030000001</v>
      </c>
      <c r="E43" s="53">
        <f>19861866+212598+40500+589748+320220</f>
        <v>21024932</v>
      </c>
      <c r="F43" s="53">
        <f>19861866+212598+40500+589748+320220</f>
        <v>21024932</v>
      </c>
      <c r="G43" s="53">
        <f>19861866+212598+40500+589748+320220+7200000</f>
        <v>28224932</v>
      </c>
      <c r="H43" s="53">
        <f>19861866+212598+40500+589748+320220+7200000</f>
        <v>28224932</v>
      </c>
      <c r="I43" s="53">
        <f>19861866+212598+40500+589748+320220+7200000</f>
        <v>28224932</v>
      </c>
    </row>
    <row r="44" spans="1:9" s="47" customFormat="1" ht="12" customHeight="1">
      <c r="A44" s="51" t="s">
        <v>169</v>
      </c>
      <c r="B44" s="52" t="s">
        <v>278</v>
      </c>
      <c r="C44" s="53"/>
      <c r="D44" s="53"/>
      <c r="E44" s="53"/>
      <c r="F44" s="53"/>
      <c r="G44" s="53"/>
      <c r="H44" s="53"/>
      <c r="I44" s="53"/>
    </row>
    <row r="45" spans="1:9" s="47" customFormat="1" ht="12" customHeight="1">
      <c r="A45" s="51" t="s">
        <v>170</v>
      </c>
      <c r="B45" s="52" t="s">
        <v>279</v>
      </c>
      <c r="C45" s="63"/>
      <c r="D45" s="63"/>
      <c r="E45" s="63"/>
      <c r="F45" s="63"/>
      <c r="G45" s="63"/>
      <c r="H45" s="63"/>
      <c r="I45" s="63"/>
    </row>
    <row r="46" spans="1:9" s="47" customFormat="1" ht="12" customHeight="1">
      <c r="A46" s="51" t="s">
        <v>270</v>
      </c>
      <c r="B46" s="52" t="s">
        <v>280</v>
      </c>
      <c r="C46" s="63"/>
      <c r="D46" s="63"/>
      <c r="E46" s="63"/>
      <c r="F46" s="63"/>
      <c r="G46" s="63"/>
      <c r="H46" s="63"/>
      <c r="I46" s="63"/>
    </row>
    <row r="47" spans="1:9" s="47" customFormat="1" ht="12" customHeight="1">
      <c r="A47" s="55" t="s">
        <v>271</v>
      </c>
      <c r="B47" s="59" t="s">
        <v>432</v>
      </c>
      <c r="C47" s="64"/>
      <c r="D47" s="64"/>
      <c r="E47" s="64"/>
      <c r="F47" s="64"/>
      <c r="G47" s="64"/>
      <c r="H47" s="64"/>
      <c r="I47" s="64"/>
    </row>
    <row r="48" spans="1:9" s="47" customFormat="1" ht="12" customHeight="1" thickBot="1">
      <c r="A48" s="55" t="s">
        <v>431</v>
      </c>
      <c r="B48" s="56" t="s">
        <v>281</v>
      </c>
      <c r="C48" s="64"/>
      <c r="D48" s="64"/>
      <c r="E48" s="64"/>
      <c r="F48" s="64"/>
      <c r="G48" s="64"/>
      <c r="H48" s="64"/>
      <c r="I48" s="64"/>
    </row>
    <row r="49" spans="1:9" s="47" customFormat="1" ht="12" customHeight="1" thickBot="1">
      <c r="A49" s="44" t="s">
        <v>21</v>
      </c>
      <c r="B49" s="45" t="s">
        <v>282</v>
      </c>
      <c r="C49" s="46">
        <f t="shared" ref="C49:H49" si="7">SUM(C50:C54)</f>
        <v>0</v>
      </c>
      <c r="D49" s="46">
        <f t="shared" si="7"/>
        <v>0</v>
      </c>
      <c r="E49" s="46">
        <f t="shared" si="7"/>
        <v>0</v>
      </c>
      <c r="F49" s="46">
        <f t="shared" si="7"/>
        <v>0</v>
      </c>
      <c r="G49" s="46">
        <f t="shared" si="7"/>
        <v>0</v>
      </c>
      <c r="H49" s="46">
        <f t="shared" si="7"/>
        <v>0</v>
      </c>
      <c r="I49" s="46">
        <f>SUM(I50:I54)</f>
        <v>0</v>
      </c>
    </row>
    <row r="50" spans="1:9" s="47" customFormat="1" ht="12" customHeight="1">
      <c r="A50" s="48" t="s">
        <v>91</v>
      </c>
      <c r="B50" s="49" t="s">
        <v>286</v>
      </c>
      <c r="C50" s="65"/>
      <c r="D50" s="65"/>
      <c r="E50" s="65"/>
      <c r="F50" s="65"/>
      <c r="G50" s="65"/>
      <c r="H50" s="65"/>
      <c r="I50" s="65"/>
    </row>
    <row r="51" spans="1:9" s="47" customFormat="1" ht="12" customHeight="1">
      <c r="A51" s="51" t="s">
        <v>92</v>
      </c>
      <c r="B51" s="52" t="s">
        <v>287</v>
      </c>
      <c r="C51" s="63"/>
      <c r="D51" s="63"/>
      <c r="E51" s="63"/>
      <c r="F51" s="63"/>
      <c r="G51" s="63"/>
      <c r="H51" s="63"/>
      <c r="I51" s="63"/>
    </row>
    <row r="52" spans="1:9" s="47" customFormat="1" ht="12" customHeight="1">
      <c r="A52" s="51" t="s">
        <v>283</v>
      </c>
      <c r="B52" s="52" t="s">
        <v>288</v>
      </c>
      <c r="C52" s="63"/>
      <c r="D52" s="63"/>
      <c r="E52" s="63"/>
      <c r="F52" s="63"/>
      <c r="G52" s="63"/>
      <c r="H52" s="63"/>
      <c r="I52" s="63"/>
    </row>
    <row r="53" spans="1:9" s="47" customFormat="1" ht="12" customHeight="1">
      <c r="A53" s="51" t="s">
        <v>284</v>
      </c>
      <c r="B53" s="52" t="s">
        <v>289</v>
      </c>
      <c r="C53" s="63"/>
      <c r="D53" s="63"/>
      <c r="E53" s="63"/>
      <c r="F53" s="63"/>
      <c r="G53" s="63"/>
      <c r="H53" s="63"/>
      <c r="I53" s="63"/>
    </row>
    <row r="54" spans="1:9" s="47" customFormat="1" ht="12" customHeight="1" thickBot="1">
      <c r="A54" s="55" t="s">
        <v>285</v>
      </c>
      <c r="B54" s="56" t="s">
        <v>290</v>
      </c>
      <c r="C54" s="64"/>
      <c r="D54" s="64"/>
      <c r="E54" s="64"/>
      <c r="F54" s="64"/>
      <c r="G54" s="64"/>
      <c r="H54" s="64"/>
      <c r="I54" s="64"/>
    </row>
    <row r="55" spans="1:9" s="47" customFormat="1" ht="12" customHeight="1" thickBot="1">
      <c r="A55" s="44" t="s">
        <v>171</v>
      </c>
      <c r="B55" s="45" t="s">
        <v>291</v>
      </c>
      <c r="C55" s="46">
        <f t="shared" ref="C55:H55" si="8">SUM(C56:C58)</f>
        <v>0</v>
      </c>
      <c r="D55" s="46">
        <f t="shared" si="8"/>
        <v>0</v>
      </c>
      <c r="E55" s="46">
        <f t="shared" si="8"/>
        <v>0</v>
      </c>
      <c r="F55" s="46">
        <f t="shared" si="8"/>
        <v>0</v>
      </c>
      <c r="G55" s="46">
        <f t="shared" si="8"/>
        <v>0</v>
      </c>
      <c r="H55" s="46">
        <f t="shared" si="8"/>
        <v>0</v>
      </c>
      <c r="I55" s="46">
        <f>SUM(I56:I58)</f>
        <v>0</v>
      </c>
    </row>
    <row r="56" spans="1:9" s="47" customFormat="1" ht="12" customHeight="1">
      <c r="A56" s="48" t="s">
        <v>93</v>
      </c>
      <c r="B56" s="49" t="s">
        <v>292</v>
      </c>
      <c r="C56" s="50"/>
      <c r="D56" s="50"/>
      <c r="E56" s="50"/>
      <c r="F56" s="50"/>
      <c r="G56" s="50"/>
      <c r="H56" s="50"/>
      <c r="I56" s="50"/>
    </row>
    <row r="57" spans="1:9" s="47" customFormat="1" ht="12" customHeight="1">
      <c r="A57" s="51" t="s">
        <v>94</v>
      </c>
      <c r="B57" s="52" t="s">
        <v>422</v>
      </c>
      <c r="C57" s="53"/>
      <c r="D57" s="53"/>
      <c r="E57" s="53"/>
      <c r="F57" s="53"/>
      <c r="G57" s="53"/>
      <c r="H57" s="53"/>
      <c r="I57" s="53"/>
    </row>
    <row r="58" spans="1:9" s="47" customFormat="1" ht="12" customHeight="1">
      <c r="A58" s="51" t="s">
        <v>295</v>
      </c>
      <c r="B58" s="52" t="s">
        <v>293</v>
      </c>
      <c r="C58" s="53"/>
      <c r="D58" s="53"/>
      <c r="E58" s="53"/>
      <c r="F58" s="53"/>
      <c r="G58" s="53"/>
      <c r="H58" s="53"/>
      <c r="I58" s="53"/>
    </row>
    <row r="59" spans="1:9" s="47" customFormat="1" ht="12" customHeight="1" thickBot="1">
      <c r="A59" s="55" t="s">
        <v>296</v>
      </c>
      <c r="B59" s="56" t="s">
        <v>294</v>
      </c>
      <c r="C59" s="58"/>
      <c r="D59" s="58"/>
      <c r="E59" s="58"/>
      <c r="F59" s="58"/>
      <c r="G59" s="58"/>
      <c r="H59" s="58"/>
      <c r="I59" s="58"/>
    </row>
    <row r="60" spans="1:9" s="47" customFormat="1" ht="12" customHeight="1" thickBot="1">
      <c r="A60" s="44" t="s">
        <v>23</v>
      </c>
      <c r="B60" s="57" t="s">
        <v>297</v>
      </c>
      <c r="C60" s="46">
        <f t="shared" ref="C60:H60" si="9">SUM(C61:C63)</f>
        <v>0</v>
      </c>
      <c r="D60" s="46">
        <f t="shared" si="9"/>
        <v>0</v>
      </c>
      <c r="E60" s="46">
        <f t="shared" si="9"/>
        <v>0</v>
      </c>
      <c r="F60" s="46">
        <f t="shared" si="9"/>
        <v>0</v>
      </c>
      <c r="G60" s="46">
        <f t="shared" si="9"/>
        <v>0</v>
      </c>
      <c r="H60" s="46">
        <f t="shared" si="9"/>
        <v>0</v>
      </c>
      <c r="I60" s="46">
        <f>SUM(I61:I63)</f>
        <v>0</v>
      </c>
    </row>
    <row r="61" spans="1:9" s="47" customFormat="1" ht="12" customHeight="1">
      <c r="A61" s="48" t="s">
        <v>172</v>
      </c>
      <c r="B61" s="49" t="s">
        <v>299</v>
      </c>
      <c r="C61" s="63"/>
      <c r="D61" s="63"/>
      <c r="E61" s="63"/>
      <c r="F61" s="63"/>
      <c r="G61" s="63"/>
      <c r="H61" s="63"/>
      <c r="I61" s="63"/>
    </row>
    <row r="62" spans="1:9" s="47" customFormat="1" ht="12" customHeight="1">
      <c r="A62" s="51" t="s">
        <v>173</v>
      </c>
      <c r="B62" s="52" t="s">
        <v>423</v>
      </c>
      <c r="C62" s="63"/>
      <c r="D62" s="63"/>
      <c r="E62" s="63"/>
      <c r="F62" s="63"/>
      <c r="G62" s="63"/>
      <c r="H62" s="63"/>
      <c r="I62" s="63"/>
    </row>
    <row r="63" spans="1:9" s="47" customFormat="1" ht="12" customHeight="1">
      <c r="A63" s="51" t="s">
        <v>221</v>
      </c>
      <c r="B63" s="52" t="s">
        <v>300</v>
      </c>
      <c r="C63" s="63"/>
      <c r="D63" s="63"/>
      <c r="E63" s="63"/>
      <c r="F63" s="63"/>
      <c r="G63" s="63"/>
      <c r="H63" s="63"/>
      <c r="I63" s="63"/>
    </row>
    <row r="64" spans="1:9" s="47" customFormat="1" ht="12" customHeight="1" thickBot="1">
      <c r="A64" s="55" t="s">
        <v>298</v>
      </c>
      <c r="B64" s="56" t="s">
        <v>301</v>
      </c>
      <c r="C64" s="63"/>
      <c r="D64" s="63"/>
      <c r="E64" s="63"/>
      <c r="F64" s="63"/>
      <c r="G64" s="63"/>
      <c r="H64" s="63"/>
      <c r="I64" s="63"/>
    </row>
    <row r="65" spans="1:9" s="47" customFormat="1" ht="12" customHeight="1" thickBot="1">
      <c r="A65" s="66" t="s">
        <v>474</v>
      </c>
      <c r="B65" s="45" t="s">
        <v>302</v>
      </c>
      <c r="C65" s="60">
        <f t="shared" ref="C65:H65" si="10">+C8+C15+C22+C29+C37+C49+C55+C60</f>
        <v>98776182.030000001</v>
      </c>
      <c r="D65" s="60">
        <f t="shared" si="10"/>
        <v>98776182.030000001</v>
      </c>
      <c r="E65" s="60">
        <f t="shared" si="10"/>
        <v>107347927</v>
      </c>
      <c r="F65" s="60">
        <f t="shared" si="10"/>
        <v>107347927</v>
      </c>
      <c r="G65" s="60">
        <f t="shared" si="10"/>
        <v>121860759</v>
      </c>
      <c r="H65" s="60">
        <f t="shared" si="10"/>
        <v>119311869</v>
      </c>
      <c r="I65" s="60">
        <f>+I8+I15+I22+I29+I37+I49+I55+I60</f>
        <v>119311869</v>
      </c>
    </row>
    <row r="66" spans="1:9" s="47" customFormat="1" ht="12" customHeight="1" thickBot="1">
      <c r="A66" s="67" t="s">
        <v>303</v>
      </c>
      <c r="B66" s="57" t="s">
        <v>304</v>
      </c>
      <c r="C66" s="46">
        <f t="shared" ref="C66:H66" si="11">SUM(C67:C69)</f>
        <v>0</v>
      </c>
      <c r="D66" s="46">
        <f t="shared" si="11"/>
        <v>0</v>
      </c>
      <c r="E66" s="46">
        <f t="shared" si="11"/>
        <v>0</v>
      </c>
      <c r="F66" s="46">
        <f t="shared" si="11"/>
        <v>0</v>
      </c>
      <c r="G66" s="46">
        <f t="shared" si="11"/>
        <v>0</v>
      </c>
      <c r="H66" s="46">
        <f t="shared" si="11"/>
        <v>0</v>
      </c>
      <c r="I66" s="46">
        <f>SUM(I67:I69)</f>
        <v>0</v>
      </c>
    </row>
    <row r="67" spans="1:9" s="47" customFormat="1" ht="12" customHeight="1">
      <c r="A67" s="48" t="s">
        <v>335</v>
      </c>
      <c r="B67" s="49" t="s">
        <v>305</v>
      </c>
      <c r="C67" s="63"/>
      <c r="D67" s="63"/>
      <c r="E67" s="63"/>
      <c r="F67" s="63"/>
      <c r="G67" s="63"/>
      <c r="H67" s="63"/>
      <c r="I67" s="63"/>
    </row>
    <row r="68" spans="1:9" s="47" customFormat="1" ht="12" customHeight="1">
      <c r="A68" s="51" t="s">
        <v>344</v>
      </c>
      <c r="B68" s="52" t="s">
        <v>306</v>
      </c>
      <c r="C68" s="63"/>
      <c r="D68" s="63"/>
      <c r="E68" s="63"/>
      <c r="F68" s="63"/>
      <c r="G68" s="63"/>
      <c r="H68" s="63"/>
      <c r="I68" s="63"/>
    </row>
    <row r="69" spans="1:9" s="47" customFormat="1" ht="12" customHeight="1" thickBot="1">
      <c r="A69" s="55" t="s">
        <v>345</v>
      </c>
      <c r="B69" s="68" t="s">
        <v>459</v>
      </c>
      <c r="C69" s="63"/>
      <c r="D69" s="63"/>
      <c r="E69" s="63"/>
      <c r="F69" s="63"/>
      <c r="G69" s="63"/>
      <c r="H69" s="63"/>
      <c r="I69" s="63"/>
    </row>
    <row r="70" spans="1:9" s="47" customFormat="1" ht="12" customHeight="1" thickBot="1">
      <c r="A70" s="67" t="s">
        <v>308</v>
      </c>
      <c r="B70" s="57" t="s">
        <v>309</v>
      </c>
      <c r="C70" s="46">
        <f t="shared" ref="C70:H70" si="12">SUM(C71:C74)</f>
        <v>0</v>
      </c>
      <c r="D70" s="46">
        <f t="shared" si="12"/>
        <v>0</v>
      </c>
      <c r="E70" s="46">
        <f t="shared" si="12"/>
        <v>0</v>
      </c>
      <c r="F70" s="46">
        <f t="shared" si="12"/>
        <v>0</v>
      </c>
      <c r="G70" s="46">
        <f t="shared" si="12"/>
        <v>0</v>
      </c>
      <c r="H70" s="46">
        <f t="shared" si="12"/>
        <v>0</v>
      </c>
      <c r="I70" s="46">
        <f>SUM(I71:I74)</f>
        <v>0</v>
      </c>
    </row>
    <row r="71" spans="1:9" s="47" customFormat="1" ht="12" customHeight="1">
      <c r="A71" s="48" t="s">
        <v>142</v>
      </c>
      <c r="B71" s="49" t="s">
        <v>310</v>
      </c>
      <c r="C71" s="63"/>
      <c r="D71" s="63"/>
      <c r="E71" s="63"/>
      <c r="F71" s="63"/>
      <c r="G71" s="63"/>
      <c r="H71" s="63"/>
      <c r="I71" s="63"/>
    </row>
    <row r="72" spans="1:9" s="47" customFormat="1" ht="12" customHeight="1">
      <c r="A72" s="51" t="s">
        <v>143</v>
      </c>
      <c r="B72" s="52" t="s">
        <v>311</v>
      </c>
      <c r="C72" s="63"/>
      <c r="D72" s="63"/>
      <c r="E72" s="63"/>
      <c r="F72" s="63"/>
      <c r="G72" s="63"/>
      <c r="H72" s="63"/>
      <c r="I72" s="63"/>
    </row>
    <row r="73" spans="1:9" s="47" customFormat="1" ht="12" customHeight="1">
      <c r="A73" s="51" t="s">
        <v>336</v>
      </c>
      <c r="B73" s="52" t="s">
        <v>312</v>
      </c>
      <c r="C73" s="63"/>
      <c r="D73" s="63"/>
      <c r="E73" s="63"/>
      <c r="F73" s="63"/>
      <c r="G73" s="63"/>
      <c r="H73" s="63"/>
      <c r="I73" s="63"/>
    </row>
    <row r="74" spans="1:9" s="47" customFormat="1" ht="12" customHeight="1" thickBot="1">
      <c r="A74" s="55" t="s">
        <v>337</v>
      </c>
      <c r="B74" s="56" t="s">
        <v>313</v>
      </c>
      <c r="C74" s="63"/>
      <c r="D74" s="63"/>
      <c r="E74" s="63"/>
      <c r="F74" s="63"/>
      <c r="G74" s="63"/>
      <c r="H74" s="63"/>
      <c r="I74" s="63"/>
    </row>
    <row r="75" spans="1:9" s="47" customFormat="1" ht="12" customHeight="1" thickBot="1">
      <c r="A75" s="67" t="s">
        <v>314</v>
      </c>
      <c r="B75" s="57" t="s">
        <v>315</v>
      </c>
      <c r="C75" s="46">
        <f t="shared" ref="C75:H75" si="13">SUM(C76:C77)</f>
        <v>0</v>
      </c>
      <c r="D75" s="46">
        <f t="shared" si="13"/>
        <v>0</v>
      </c>
      <c r="E75" s="46">
        <f t="shared" si="13"/>
        <v>0</v>
      </c>
      <c r="F75" s="46">
        <f t="shared" si="13"/>
        <v>0</v>
      </c>
      <c r="G75" s="46">
        <f t="shared" si="13"/>
        <v>0</v>
      </c>
      <c r="H75" s="46">
        <f t="shared" si="13"/>
        <v>0</v>
      </c>
      <c r="I75" s="46">
        <f>SUM(I76:I77)</f>
        <v>0</v>
      </c>
    </row>
    <row r="76" spans="1:9" s="47" customFormat="1" ht="12" customHeight="1">
      <c r="A76" s="48" t="s">
        <v>338</v>
      </c>
      <c r="B76" s="49" t="s">
        <v>316</v>
      </c>
      <c r="C76" s="63"/>
      <c r="D76" s="63"/>
      <c r="E76" s="63"/>
      <c r="F76" s="63"/>
      <c r="G76" s="63"/>
      <c r="H76" s="63"/>
      <c r="I76" s="63"/>
    </row>
    <row r="77" spans="1:9" s="47" customFormat="1" ht="12" customHeight="1" thickBot="1">
      <c r="A77" s="55" t="s">
        <v>339</v>
      </c>
      <c r="B77" s="56" t="s">
        <v>317</v>
      </c>
      <c r="C77" s="63"/>
      <c r="D77" s="63"/>
      <c r="E77" s="63"/>
      <c r="F77" s="63"/>
      <c r="G77" s="63"/>
      <c r="H77" s="63"/>
      <c r="I77" s="63"/>
    </row>
    <row r="78" spans="1:9" s="47" customFormat="1" ht="12" customHeight="1" thickBot="1">
      <c r="A78" s="67" t="s">
        <v>318</v>
      </c>
      <c r="B78" s="57" t="s">
        <v>319</v>
      </c>
      <c r="C78" s="46">
        <f t="shared" ref="C78:H78" si="14">SUM(C79:C81)</f>
        <v>0</v>
      </c>
      <c r="D78" s="46">
        <f t="shared" si="14"/>
        <v>0</v>
      </c>
      <c r="E78" s="46">
        <f t="shared" si="14"/>
        <v>0</v>
      </c>
      <c r="F78" s="46">
        <f t="shared" si="14"/>
        <v>0</v>
      </c>
      <c r="G78" s="46">
        <f t="shared" si="14"/>
        <v>0</v>
      </c>
      <c r="H78" s="46">
        <f t="shared" si="14"/>
        <v>0</v>
      </c>
      <c r="I78" s="46">
        <f>SUM(I79:I81)</f>
        <v>0</v>
      </c>
    </row>
    <row r="79" spans="1:9" s="47" customFormat="1" ht="12" customHeight="1">
      <c r="A79" s="48" t="s">
        <v>340</v>
      </c>
      <c r="B79" s="49" t="s">
        <v>320</v>
      </c>
      <c r="C79" s="63"/>
      <c r="D79" s="63"/>
      <c r="E79" s="63"/>
      <c r="F79" s="63"/>
      <c r="G79" s="63"/>
      <c r="H79" s="63"/>
      <c r="I79" s="63"/>
    </row>
    <row r="80" spans="1:9" s="47" customFormat="1" ht="12" customHeight="1">
      <c r="A80" s="51" t="s">
        <v>341</v>
      </c>
      <c r="B80" s="52" t="s">
        <v>321</v>
      </c>
      <c r="C80" s="63"/>
      <c r="D80" s="63"/>
      <c r="E80" s="63"/>
      <c r="F80" s="63"/>
      <c r="G80" s="63"/>
      <c r="H80" s="63"/>
      <c r="I80" s="63"/>
    </row>
    <row r="81" spans="1:9" s="47" customFormat="1" ht="12" customHeight="1" thickBot="1">
      <c r="A81" s="55" t="s">
        <v>342</v>
      </c>
      <c r="B81" s="56" t="s">
        <v>322</v>
      </c>
      <c r="C81" s="63"/>
      <c r="D81" s="63"/>
      <c r="E81" s="63"/>
      <c r="F81" s="63"/>
      <c r="G81" s="63"/>
      <c r="H81" s="63"/>
      <c r="I81" s="63"/>
    </row>
    <row r="82" spans="1:9" s="47" customFormat="1" ht="12" customHeight="1" thickBot="1">
      <c r="A82" s="67" t="s">
        <v>323</v>
      </c>
      <c r="B82" s="57" t="s">
        <v>343</v>
      </c>
      <c r="C82" s="46">
        <f t="shared" ref="C82:H82" si="15">SUM(C83:C86)</f>
        <v>0</v>
      </c>
      <c r="D82" s="46">
        <f t="shared" si="15"/>
        <v>0</v>
      </c>
      <c r="E82" s="46">
        <f t="shared" si="15"/>
        <v>0</v>
      </c>
      <c r="F82" s="46">
        <f t="shared" si="15"/>
        <v>0</v>
      </c>
      <c r="G82" s="46">
        <f t="shared" si="15"/>
        <v>0</v>
      </c>
      <c r="H82" s="46">
        <f t="shared" si="15"/>
        <v>0</v>
      </c>
      <c r="I82" s="46">
        <f>SUM(I83:I86)</f>
        <v>0</v>
      </c>
    </row>
    <row r="83" spans="1:9" s="47" customFormat="1" ht="12" customHeight="1">
      <c r="A83" s="69" t="s">
        <v>324</v>
      </c>
      <c r="B83" s="49" t="s">
        <v>325</v>
      </c>
      <c r="C83" s="63"/>
      <c r="D83" s="63"/>
      <c r="E83" s="63"/>
      <c r="F83" s="63"/>
      <c r="G83" s="63"/>
      <c r="H83" s="63"/>
      <c r="I83" s="63"/>
    </row>
    <row r="84" spans="1:9" s="47" customFormat="1" ht="12" customHeight="1">
      <c r="A84" s="70" t="s">
        <v>326</v>
      </c>
      <c r="B84" s="52" t="s">
        <v>327</v>
      </c>
      <c r="C84" s="63"/>
      <c r="D84" s="63"/>
      <c r="E84" s="63"/>
      <c r="F84" s="63"/>
      <c r="G84" s="63"/>
      <c r="H84" s="63"/>
      <c r="I84" s="63"/>
    </row>
    <row r="85" spans="1:9" s="47" customFormat="1" ht="12" customHeight="1">
      <c r="A85" s="70" t="s">
        <v>328</v>
      </c>
      <c r="B85" s="52" t="s">
        <v>329</v>
      </c>
      <c r="C85" s="63"/>
      <c r="D85" s="63"/>
      <c r="E85" s="63"/>
      <c r="F85" s="63"/>
      <c r="G85" s="63"/>
      <c r="H85" s="63"/>
      <c r="I85" s="63"/>
    </row>
    <row r="86" spans="1:9" s="47" customFormat="1" ht="12" customHeight="1" thickBot="1">
      <c r="A86" s="71" t="s">
        <v>330</v>
      </c>
      <c r="B86" s="56" t="s">
        <v>331</v>
      </c>
      <c r="C86" s="63"/>
      <c r="D86" s="63"/>
      <c r="E86" s="63"/>
      <c r="F86" s="63"/>
      <c r="G86" s="63"/>
      <c r="H86" s="63"/>
      <c r="I86" s="63"/>
    </row>
    <row r="87" spans="1:9" s="47" customFormat="1" ht="12" customHeight="1" thickBot="1">
      <c r="A87" s="67" t="s">
        <v>332</v>
      </c>
      <c r="B87" s="57" t="s">
        <v>473</v>
      </c>
      <c r="C87" s="72"/>
      <c r="D87" s="72"/>
      <c r="E87" s="72"/>
      <c r="F87" s="72"/>
      <c r="G87" s="72"/>
      <c r="H87" s="72"/>
      <c r="I87" s="72"/>
    </row>
    <row r="88" spans="1:9" s="47" customFormat="1" ht="13.5" customHeight="1" thickBot="1">
      <c r="A88" s="67" t="s">
        <v>334</v>
      </c>
      <c r="B88" s="57" t="s">
        <v>333</v>
      </c>
      <c r="C88" s="72"/>
      <c r="D88" s="72"/>
      <c r="E88" s="72"/>
      <c r="F88" s="72"/>
      <c r="G88" s="72"/>
      <c r="H88" s="72"/>
      <c r="I88" s="72"/>
    </row>
    <row r="89" spans="1:9" s="47" customFormat="1" ht="15.75" customHeight="1" thickBot="1">
      <c r="A89" s="67" t="s">
        <v>346</v>
      </c>
      <c r="B89" s="73" t="s">
        <v>476</v>
      </c>
      <c r="C89" s="60">
        <f t="shared" ref="C89:H89" si="16">+C66+C70+C75+C78+C82+C88+C87</f>
        <v>0</v>
      </c>
      <c r="D89" s="60">
        <f t="shared" si="16"/>
        <v>0</v>
      </c>
      <c r="E89" s="60">
        <f t="shared" si="16"/>
        <v>0</v>
      </c>
      <c r="F89" s="60">
        <f t="shared" si="16"/>
        <v>0</v>
      </c>
      <c r="G89" s="60">
        <f t="shared" si="16"/>
        <v>0</v>
      </c>
      <c r="H89" s="60">
        <f t="shared" si="16"/>
        <v>0</v>
      </c>
      <c r="I89" s="60">
        <f>+I66+I70+I75+I78+I82+I88+I87</f>
        <v>0</v>
      </c>
    </row>
    <row r="90" spans="1:9" s="47" customFormat="1" ht="16.5" customHeight="1" thickBot="1">
      <c r="A90" s="74" t="s">
        <v>475</v>
      </c>
      <c r="B90" s="75" t="s">
        <v>477</v>
      </c>
      <c r="C90" s="60">
        <f t="shared" ref="C90:H90" si="17">+C65+C89</f>
        <v>98776182.030000001</v>
      </c>
      <c r="D90" s="60">
        <f t="shared" si="17"/>
        <v>98776182.030000001</v>
      </c>
      <c r="E90" s="60">
        <f t="shared" si="17"/>
        <v>107347927</v>
      </c>
      <c r="F90" s="60">
        <f t="shared" si="17"/>
        <v>107347927</v>
      </c>
      <c r="G90" s="60">
        <f t="shared" si="17"/>
        <v>121860759</v>
      </c>
      <c r="H90" s="60">
        <f t="shared" si="17"/>
        <v>119311869</v>
      </c>
      <c r="I90" s="60">
        <f>+I65+I89</f>
        <v>119311869</v>
      </c>
    </row>
    <row r="91" spans="1:9" s="47" customFormat="1" ht="83.25" customHeight="1">
      <c r="A91" s="76"/>
      <c r="B91" s="77"/>
      <c r="C91" s="78"/>
      <c r="D91" s="78"/>
      <c r="E91" s="78"/>
      <c r="F91" s="78"/>
      <c r="G91" s="78"/>
      <c r="H91" s="78"/>
      <c r="I91" s="78"/>
    </row>
    <row r="92" spans="1:9" s="36" customFormat="1" ht="16.5" customHeight="1">
      <c r="A92" s="735" t="s">
        <v>44</v>
      </c>
      <c r="B92" s="735"/>
    </row>
    <row r="93" spans="1:9" s="80" customFormat="1" ht="16.5" customHeight="1" thickBot="1">
      <c r="A93" s="736" t="s">
        <v>145</v>
      </c>
      <c r="B93" s="736"/>
      <c r="C93" s="79"/>
      <c r="D93" s="79"/>
      <c r="E93" s="79"/>
      <c r="F93" s="79"/>
      <c r="G93" s="79"/>
      <c r="H93" s="79"/>
      <c r="I93" s="79"/>
    </row>
    <row r="94" spans="1:9" s="36" customFormat="1" ht="38.1" customHeight="1" thickBot="1">
      <c r="A94" s="38" t="s">
        <v>66</v>
      </c>
      <c r="B94" s="39" t="s">
        <v>45</v>
      </c>
      <c r="C94" s="9" t="str">
        <f>+C6</f>
        <v>Eredeti előirányzat (2018.01)</v>
      </c>
      <c r="D94" s="9" t="str">
        <f>+D6</f>
        <v>Módosított előirányzat (2018.03)</v>
      </c>
      <c r="E94" s="9" t="str">
        <f>+E6</f>
        <v>Módosított előirányzat (2018.06)</v>
      </c>
      <c r="F94" s="9" t="str">
        <f>+F6</f>
        <v>Módosított előirányzat (2018.08)</v>
      </c>
      <c r="G94" s="9" t="str">
        <f>+G6</f>
        <v>Módosított előirányzat (2018.09)</v>
      </c>
      <c r="H94" s="270" t="s">
        <v>773</v>
      </c>
      <c r="I94" s="270" t="s">
        <v>773</v>
      </c>
    </row>
    <row r="95" spans="1:9" s="43" customFormat="1" ht="12" customHeight="1" thickBot="1">
      <c r="A95" s="81" t="s">
        <v>485</v>
      </c>
      <c r="B95" s="82" t="s">
        <v>486</v>
      </c>
      <c r="C95" s="83" t="s">
        <v>487</v>
      </c>
      <c r="D95" s="83" t="s">
        <v>487</v>
      </c>
      <c r="E95" s="83" t="s">
        <v>487</v>
      </c>
      <c r="F95" s="83" t="s">
        <v>487</v>
      </c>
      <c r="G95" s="83" t="s">
        <v>487</v>
      </c>
      <c r="H95" s="83" t="s">
        <v>487</v>
      </c>
      <c r="I95" s="83" t="s">
        <v>487</v>
      </c>
    </row>
    <row r="96" spans="1:9" s="36" customFormat="1" ht="12" customHeight="1" thickBot="1">
      <c r="A96" s="84" t="s">
        <v>16</v>
      </c>
      <c r="B96" s="85" t="s">
        <v>653</v>
      </c>
      <c r="C96" s="86">
        <f t="shared" ref="C96:H96" si="18">C97+C98+C99+C100+C101+C114</f>
        <v>76932182</v>
      </c>
      <c r="D96" s="86">
        <f t="shared" si="18"/>
        <v>76932182</v>
      </c>
      <c r="E96" s="86">
        <f t="shared" si="18"/>
        <v>84503927</v>
      </c>
      <c r="F96" s="86">
        <f t="shared" si="18"/>
        <v>84503927</v>
      </c>
      <c r="G96" s="86">
        <f t="shared" si="18"/>
        <v>99016759</v>
      </c>
      <c r="H96" s="86">
        <f t="shared" si="18"/>
        <v>99016759</v>
      </c>
      <c r="I96" s="86">
        <f>I97+I98+I99+I100+I101+I114</f>
        <v>99016759</v>
      </c>
    </row>
    <row r="97" spans="1:9" s="36" customFormat="1" ht="12" customHeight="1">
      <c r="A97" s="87" t="s">
        <v>95</v>
      </c>
      <c r="B97" s="17" t="s">
        <v>46</v>
      </c>
      <c r="C97" s="88">
        <v>13518800</v>
      </c>
      <c r="D97" s="88">
        <v>13518800</v>
      </c>
      <c r="E97" s="88">
        <f>13518800+2595000-3120000</f>
        <v>12993800</v>
      </c>
      <c r="F97" s="88">
        <f>13518800+2595000-3120000</f>
        <v>12993800</v>
      </c>
      <c r="G97" s="88">
        <f>13518800+2595000-3120000+805717</f>
        <v>13799517</v>
      </c>
      <c r="H97" s="88">
        <f>13518800+2595000-3120000+805717</f>
        <v>13799517</v>
      </c>
      <c r="I97" s="88">
        <f>13518800+2595000-3120000+805717</f>
        <v>13799517</v>
      </c>
    </row>
    <row r="98" spans="1:9" s="36" customFormat="1" ht="12" customHeight="1">
      <c r="A98" s="51" t="s">
        <v>96</v>
      </c>
      <c r="B98" s="18" t="s">
        <v>174</v>
      </c>
      <c r="C98" s="53">
        <v>2792432</v>
      </c>
      <c r="D98" s="53">
        <v>2792432</v>
      </c>
      <c r="E98" s="53">
        <f>2792432+506025-608400</f>
        <v>2690057</v>
      </c>
      <c r="F98" s="53">
        <f>2792432+506025-608400</f>
        <v>2690057</v>
      </c>
      <c r="G98" s="53">
        <f>2792432+506025-608400+157115</f>
        <v>2847172</v>
      </c>
      <c r="H98" s="53">
        <f>2792432+506025-608400+157115</f>
        <v>2847172</v>
      </c>
      <c r="I98" s="53">
        <f>2792432+506025-608400+157115</f>
        <v>2847172</v>
      </c>
    </row>
    <row r="99" spans="1:9" s="36" customFormat="1" ht="12" customHeight="1">
      <c r="A99" s="51" t="s">
        <v>97</v>
      </c>
      <c r="B99" s="18" t="s">
        <v>133</v>
      </c>
      <c r="C99" s="58">
        <v>60620950</v>
      </c>
      <c r="D99" s="58">
        <v>60620950</v>
      </c>
      <c r="E99" s="58">
        <f>60620950+190500+6502400+1506220</f>
        <v>68820070</v>
      </c>
      <c r="F99" s="58">
        <f>60620950+190500+6502400+1506220</f>
        <v>68820070</v>
      </c>
      <c r="G99" s="58">
        <f>60620950+190500+6502400+1506220+7200000+6350000</f>
        <v>82370070</v>
      </c>
      <c r="H99" s="58">
        <f>60620950+190500+6502400+1506220+7200000+6350000</f>
        <v>82370070</v>
      </c>
      <c r="I99" s="58">
        <f>60620950+190500+6502400+1506220+7200000+6350000</f>
        <v>82370070</v>
      </c>
    </row>
    <row r="100" spans="1:9" s="36" customFormat="1" ht="12" customHeight="1">
      <c r="A100" s="51" t="s">
        <v>98</v>
      </c>
      <c r="B100" s="89" t="s">
        <v>175</v>
      </c>
      <c r="C100" s="58"/>
      <c r="D100" s="58"/>
      <c r="E100" s="58"/>
      <c r="F100" s="58"/>
      <c r="G100" s="58"/>
      <c r="H100" s="58"/>
      <c r="I100" s="58"/>
    </row>
    <row r="101" spans="1:9" s="36" customFormat="1" ht="12" customHeight="1">
      <c r="A101" s="51" t="s">
        <v>109</v>
      </c>
      <c r="B101" s="90" t="s">
        <v>176</v>
      </c>
      <c r="C101" s="58">
        <f t="shared" ref="C101:H101" si="19">C102+C103+C104+C105+C106+C108+C109+C110+C111+C112+C113</f>
        <v>0</v>
      </c>
      <c r="D101" s="58">
        <f t="shared" si="19"/>
        <v>0</v>
      </c>
      <c r="E101" s="58">
        <f t="shared" si="19"/>
        <v>0</v>
      </c>
      <c r="F101" s="58">
        <f t="shared" si="19"/>
        <v>0</v>
      </c>
      <c r="G101" s="58">
        <f t="shared" si="19"/>
        <v>0</v>
      </c>
      <c r="H101" s="58">
        <f t="shared" si="19"/>
        <v>0</v>
      </c>
      <c r="I101" s="58">
        <f>I102+I103+I104+I105+I106+I108+I109+I110+I111+I112+I113</f>
        <v>0</v>
      </c>
    </row>
    <row r="102" spans="1:9" s="36" customFormat="1" ht="12" customHeight="1">
      <c r="A102" s="51" t="s">
        <v>99</v>
      </c>
      <c r="B102" s="18" t="s">
        <v>440</v>
      </c>
      <c r="C102" s="58"/>
      <c r="D102" s="58"/>
      <c r="E102" s="58"/>
      <c r="F102" s="58"/>
      <c r="G102" s="58"/>
      <c r="H102" s="58"/>
      <c r="I102" s="58"/>
    </row>
    <row r="103" spans="1:9" s="36" customFormat="1" ht="12" customHeight="1">
      <c r="A103" s="51" t="s">
        <v>100</v>
      </c>
      <c r="B103" s="91" t="s">
        <v>439</v>
      </c>
      <c r="C103" s="58"/>
      <c r="D103" s="58"/>
      <c r="E103" s="58"/>
      <c r="F103" s="58"/>
      <c r="G103" s="58"/>
      <c r="H103" s="58"/>
      <c r="I103" s="58"/>
    </row>
    <row r="104" spans="1:9" s="36" customFormat="1" ht="12" customHeight="1">
      <c r="A104" s="51" t="s">
        <v>110</v>
      </c>
      <c r="B104" s="91" t="s">
        <v>438</v>
      </c>
      <c r="C104" s="58"/>
      <c r="D104" s="58"/>
      <c r="E104" s="58"/>
      <c r="F104" s="58"/>
      <c r="G104" s="58"/>
      <c r="H104" s="58"/>
      <c r="I104" s="58"/>
    </row>
    <row r="105" spans="1:9" s="36" customFormat="1" ht="12" customHeight="1">
      <c r="A105" s="51" t="s">
        <v>111</v>
      </c>
      <c r="B105" s="92" t="s">
        <v>349</v>
      </c>
      <c r="C105" s="58"/>
      <c r="D105" s="58"/>
      <c r="E105" s="58"/>
      <c r="F105" s="58"/>
      <c r="G105" s="58"/>
      <c r="H105" s="58"/>
      <c r="I105" s="58"/>
    </row>
    <row r="106" spans="1:9" s="36" customFormat="1" ht="12" customHeight="1">
      <c r="A106" s="51" t="s">
        <v>112</v>
      </c>
      <c r="B106" s="93" t="s">
        <v>350</v>
      </c>
      <c r="C106" s="58"/>
      <c r="D106" s="58"/>
      <c r="E106" s="58"/>
      <c r="F106" s="58"/>
      <c r="G106" s="58"/>
      <c r="H106" s="58"/>
      <c r="I106" s="58"/>
    </row>
    <row r="107" spans="1:9" s="36" customFormat="1" ht="12" customHeight="1">
      <c r="A107" s="51" t="s">
        <v>113</v>
      </c>
      <c r="B107" s="93" t="s">
        <v>351</v>
      </c>
      <c r="C107" s="58"/>
      <c r="D107" s="58"/>
      <c r="E107" s="58"/>
      <c r="F107" s="58"/>
      <c r="G107" s="58"/>
      <c r="H107" s="58"/>
      <c r="I107" s="58"/>
    </row>
    <row r="108" spans="1:9" s="36" customFormat="1" ht="12" customHeight="1">
      <c r="A108" s="51" t="s">
        <v>115</v>
      </c>
      <c r="B108" s="92" t="s">
        <v>352</v>
      </c>
      <c r="C108" s="58"/>
      <c r="D108" s="58"/>
      <c r="E108" s="58"/>
      <c r="F108" s="58"/>
      <c r="G108" s="58"/>
      <c r="H108" s="58"/>
      <c r="I108" s="58"/>
    </row>
    <row r="109" spans="1:9" s="36" customFormat="1" ht="12" customHeight="1">
      <c r="A109" s="51" t="s">
        <v>177</v>
      </c>
      <c r="B109" s="92" t="s">
        <v>353</v>
      </c>
      <c r="C109" s="58"/>
      <c r="D109" s="58"/>
      <c r="E109" s="58"/>
      <c r="F109" s="58"/>
      <c r="G109" s="58"/>
      <c r="H109" s="58"/>
      <c r="I109" s="58"/>
    </row>
    <row r="110" spans="1:9" s="36" customFormat="1" ht="12" customHeight="1">
      <c r="A110" s="51" t="s">
        <v>347</v>
      </c>
      <c r="B110" s="93" t="s">
        <v>354</v>
      </c>
      <c r="C110" s="58"/>
      <c r="D110" s="58"/>
      <c r="E110" s="58"/>
      <c r="F110" s="58"/>
      <c r="G110" s="58"/>
      <c r="H110" s="58"/>
      <c r="I110" s="58"/>
    </row>
    <row r="111" spans="1:9" s="36" customFormat="1" ht="12" customHeight="1">
      <c r="A111" s="94" t="s">
        <v>348</v>
      </c>
      <c r="B111" s="91" t="s">
        <v>355</v>
      </c>
      <c r="C111" s="58"/>
      <c r="D111" s="58"/>
      <c r="E111" s="58"/>
      <c r="F111" s="58"/>
      <c r="G111" s="58"/>
      <c r="H111" s="58"/>
      <c r="I111" s="58"/>
    </row>
    <row r="112" spans="1:9" s="36" customFormat="1" ht="12" customHeight="1">
      <c r="A112" s="51" t="s">
        <v>436</v>
      </c>
      <c r="B112" s="91" t="s">
        <v>356</v>
      </c>
      <c r="C112" s="58"/>
      <c r="D112" s="58"/>
      <c r="E112" s="58"/>
      <c r="F112" s="58"/>
      <c r="G112" s="58"/>
      <c r="H112" s="58"/>
      <c r="I112" s="58"/>
    </row>
    <row r="113" spans="1:9" s="36" customFormat="1" ht="12" customHeight="1">
      <c r="A113" s="55" t="s">
        <v>437</v>
      </c>
      <c r="B113" s="91" t="s">
        <v>357</v>
      </c>
      <c r="C113" s="58"/>
      <c r="D113" s="58"/>
      <c r="E113" s="58"/>
      <c r="F113" s="58"/>
      <c r="G113" s="58"/>
      <c r="H113" s="58"/>
      <c r="I113" s="58"/>
    </row>
    <row r="114" spans="1:9" s="36" customFormat="1" ht="12" customHeight="1">
      <c r="A114" s="51" t="s">
        <v>441</v>
      </c>
      <c r="B114" s="89" t="s">
        <v>47</v>
      </c>
      <c r="C114" s="53">
        <f t="shared" ref="C114:H114" si="20">C115+C116</f>
        <v>0</v>
      </c>
      <c r="D114" s="53">
        <f t="shared" si="20"/>
        <v>0</v>
      </c>
      <c r="E114" s="53">
        <f t="shared" si="20"/>
        <v>0</v>
      </c>
      <c r="F114" s="53">
        <f t="shared" si="20"/>
        <v>0</v>
      </c>
      <c r="G114" s="53">
        <f t="shared" si="20"/>
        <v>0</v>
      </c>
      <c r="H114" s="53">
        <f t="shared" si="20"/>
        <v>0</v>
      </c>
      <c r="I114" s="53">
        <f>I115+I116</f>
        <v>0</v>
      </c>
    </row>
    <row r="115" spans="1:9" s="36" customFormat="1" ht="12" customHeight="1">
      <c r="A115" s="51" t="s">
        <v>442</v>
      </c>
      <c r="B115" s="18" t="s">
        <v>444</v>
      </c>
      <c r="C115" s="53"/>
      <c r="D115" s="53"/>
      <c r="E115" s="53"/>
      <c r="F115" s="53"/>
      <c r="G115" s="53"/>
      <c r="H115" s="53"/>
      <c r="I115" s="53"/>
    </row>
    <row r="116" spans="1:9" s="36" customFormat="1" ht="12" customHeight="1">
      <c r="A116" s="51" t="s">
        <v>443</v>
      </c>
      <c r="B116" s="128" t="s">
        <v>445</v>
      </c>
      <c r="C116" s="53"/>
      <c r="D116" s="53"/>
      <c r="E116" s="53"/>
      <c r="F116" s="53"/>
      <c r="G116" s="53"/>
      <c r="H116" s="53"/>
      <c r="I116" s="53"/>
    </row>
    <row r="117" spans="1:9" s="36" customFormat="1" ht="12" customHeight="1" thickBot="1">
      <c r="A117" s="98" t="s">
        <v>17</v>
      </c>
      <c r="B117" s="99" t="s">
        <v>654</v>
      </c>
      <c r="C117" s="100">
        <f t="shared" ref="C117:H117" si="21">+C118+C120+C122</f>
        <v>21844000</v>
      </c>
      <c r="D117" s="100">
        <f t="shared" si="21"/>
        <v>21844000</v>
      </c>
      <c r="E117" s="100">
        <f t="shared" si="21"/>
        <v>22844000</v>
      </c>
      <c r="F117" s="100">
        <f t="shared" si="21"/>
        <v>22844000</v>
      </c>
      <c r="G117" s="100">
        <f t="shared" si="21"/>
        <v>22844000</v>
      </c>
      <c r="H117" s="100">
        <f t="shared" si="21"/>
        <v>20295110</v>
      </c>
      <c r="I117" s="100">
        <f>+I118+I120+I122</f>
        <v>20295110</v>
      </c>
    </row>
    <row r="118" spans="1:9" s="36" customFormat="1" ht="12" customHeight="1">
      <c r="A118" s="48" t="s">
        <v>101</v>
      </c>
      <c r="B118" s="18" t="s">
        <v>219</v>
      </c>
      <c r="C118" s="50">
        <v>15494000</v>
      </c>
      <c r="D118" s="50">
        <v>15494000</v>
      </c>
      <c r="E118" s="50">
        <f>15494000+1000000-76200</f>
        <v>16417800</v>
      </c>
      <c r="F118" s="50">
        <f>15494000+1000000-76200</f>
        <v>16417800</v>
      </c>
      <c r="G118" s="50">
        <f>15494000+1000000-76200</f>
        <v>16417800</v>
      </c>
      <c r="H118" s="50">
        <f>15494000+1000000-76200-635000</f>
        <v>15782800</v>
      </c>
      <c r="I118" s="50">
        <f>15494000+1000000-76200-635000</f>
        <v>15782800</v>
      </c>
    </row>
    <row r="119" spans="1:9" s="36" customFormat="1" ht="12" customHeight="1">
      <c r="A119" s="48" t="s">
        <v>102</v>
      </c>
      <c r="B119" s="101" t="s">
        <v>361</v>
      </c>
      <c r="C119" s="50"/>
      <c r="D119" s="50"/>
      <c r="E119" s="50"/>
      <c r="F119" s="50"/>
      <c r="G119" s="50"/>
      <c r="H119" s="50"/>
      <c r="I119" s="50"/>
    </row>
    <row r="120" spans="1:9" s="36" customFormat="1" ht="12" customHeight="1">
      <c r="A120" s="48" t="s">
        <v>103</v>
      </c>
      <c r="B120" s="101" t="s">
        <v>178</v>
      </c>
      <c r="C120" s="53">
        <v>6350000</v>
      </c>
      <c r="D120" s="53">
        <v>6350000</v>
      </c>
      <c r="E120" s="53">
        <f>6350000+76200</f>
        <v>6426200</v>
      </c>
      <c r="F120" s="53">
        <f>6350000+76200</f>
        <v>6426200</v>
      </c>
      <c r="G120" s="53">
        <f>6350000+76200</f>
        <v>6426200</v>
      </c>
      <c r="H120" s="53">
        <f>6350000+76200-1913890</f>
        <v>4512310</v>
      </c>
      <c r="I120" s="53">
        <f>6350000+76200-1913890</f>
        <v>4512310</v>
      </c>
    </row>
    <row r="121" spans="1:9" s="36" customFormat="1" ht="12" customHeight="1">
      <c r="A121" s="48" t="s">
        <v>104</v>
      </c>
      <c r="B121" s="101" t="s">
        <v>362</v>
      </c>
      <c r="C121" s="102"/>
      <c r="D121" s="102"/>
      <c r="E121" s="102"/>
      <c r="F121" s="102"/>
      <c r="G121" s="102"/>
      <c r="H121" s="102"/>
      <c r="I121" s="102"/>
    </row>
    <row r="122" spans="1:9" s="36" customFormat="1" ht="12" customHeight="1">
      <c r="A122" s="48" t="s">
        <v>105</v>
      </c>
      <c r="B122" s="56" t="s">
        <v>222</v>
      </c>
      <c r="C122" s="102">
        <f t="shared" ref="C122:H122" si="22">C123+C124+C125+C126+C127+C128+C129+C130</f>
        <v>0</v>
      </c>
      <c r="D122" s="102">
        <f t="shared" si="22"/>
        <v>0</v>
      </c>
      <c r="E122" s="102">
        <f t="shared" si="22"/>
        <v>0</v>
      </c>
      <c r="F122" s="102">
        <f t="shared" si="22"/>
        <v>0</v>
      </c>
      <c r="G122" s="102">
        <f t="shared" si="22"/>
        <v>0</v>
      </c>
      <c r="H122" s="102">
        <f t="shared" si="22"/>
        <v>0</v>
      </c>
      <c r="I122" s="102">
        <f>I123+I124+I125+I126+I127+I128+I129+I130</f>
        <v>0</v>
      </c>
    </row>
    <row r="123" spans="1:9" s="36" customFormat="1" ht="12" customHeight="1">
      <c r="A123" s="48" t="s">
        <v>114</v>
      </c>
      <c r="B123" s="54" t="s">
        <v>424</v>
      </c>
      <c r="C123" s="102"/>
      <c r="D123" s="102"/>
      <c r="E123" s="102"/>
      <c r="F123" s="102"/>
      <c r="G123" s="102"/>
      <c r="H123" s="102"/>
      <c r="I123" s="102"/>
    </row>
    <row r="124" spans="1:9" s="36" customFormat="1" ht="12" customHeight="1">
      <c r="A124" s="48" t="s">
        <v>116</v>
      </c>
      <c r="B124" s="103" t="s">
        <v>367</v>
      </c>
      <c r="C124" s="102"/>
      <c r="D124" s="102"/>
      <c r="E124" s="102"/>
      <c r="F124" s="102"/>
      <c r="G124" s="102"/>
      <c r="H124" s="102"/>
      <c r="I124" s="102"/>
    </row>
    <row r="125" spans="1:9" s="36" customFormat="1" ht="15.75">
      <c r="A125" s="48" t="s">
        <v>179</v>
      </c>
      <c r="B125" s="93" t="s">
        <v>351</v>
      </c>
      <c r="C125" s="102"/>
      <c r="D125" s="102"/>
      <c r="E125" s="102"/>
      <c r="F125" s="102"/>
      <c r="G125" s="102"/>
      <c r="H125" s="102"/>
      <c r="I125" s="102"/>
    </row>
    <row r="126" spans="1:9" s="36" customFormat="1" ht="12" customHeight="1">
      <c r="A126" s="48" t="s">
        <v>180</v>
      </c>
      <c r="B126" s="93" t="s">
        <v>366</v>
      </c>
      <c r="C126" s="102"/>
      <c r="D126" s="102"/>
      <c r="E126" s="102"/>
      <c r="F126" s="102"/>
      <c r="G126" s="102"/>
      <c r="H126" s="102"/>
      <c r="I126" s="102"/>
    </row>
    <row r="127" spans="1:9" s="36" customFormat="1" ht="12" customHeight="1">
      <c r="A127" s="48" t="s">
        <v>181</v>
      </c>
      <c r="B127" s="93" t="s">
        <v>365</v>
      </c>
      <c r="C127" s="102"/>
      <c r="D127" s="102"/>
      <c r="E127" s="102"/>
      <c r="F127" s="102"/>
      <c r="G127" s="102"/>
      <c r="H127" s="102"/>
      <c r="I127" s="102"/>
    </row>
    <row r="128" spans="1:9" s="36" customFormat="1" ht="12" customHeight="1">
      <c r="A128" s="48" t="s">
        <v>358</v>
      </c>
      <c r="B128" s="93" t="s">
        <v>354</v>
      </c>
      <c r="C128" s="102"/>
      <c r="D128" s="102"/>
      <c r="E128" s="102"/>
      <c r="F128" s="102"/>
      <c r="G128" s="102"/>
      <c r="H128" s="102"/>
      <c r="I128" s="102"/>
    </row>
    <row r="129" spans="1:9" s="36" customFormat="1" ht="12" customHeight="1">
      <c r="A129" s="48" t="s">
        <v>359</v>
      </c>
      <c r="B129" s="93" t="s">
        <v>364</v>
      </c>
      <c r="C129" s="102">
        <f t="shared" ref="C129:I129" si="23">2000000-2000000</f>
        <v>0</v>
      </c>
      <c r="D129" s="102">
        <f t="shared" si="23"/>
        <v>0</v>
      </c>
      <c r="E129" s="102">
        <f t="shared" si="23"/>
        <v>0</v>
      </c>
      <c r="F129" s="102">
        <f t="shared" si="23"/>
        <v>0</v>
      </c>
      <c r="G129" s="102">
        <f t="shared" si="23"/>
        <v>0</v>
      </c>
      <c r="H129" s="102">
        <f t="shared" si="23"/>
        <v>0</v>
      </c>
      <c r="I129" s="102">
        <f t="shared" si="23"/>
        <v>0</v>
      </c>
    </row>
    <row r="130" spans="1:9" s="36" customFormat="1" ht="16.5" thickBot="1">
      <c r="A130" s="94" t="s">
        <v>360</v>
      </c>
      <c r="B130" s="93" t="s">
        <v>363</v>
      </c>
      <c r="C130" s="104"/>
      <c r="D130" s="104"/>
      <c r="E130" s="104"/>
      <c r="F130" s="104"/>
      <c r="G130" s="104"/>
      <c r="H130" s="104"/>
      <c r="I130" s="104"/>
    </row>
    <row r="131" spans="1:9" s="36" customFormat="1" ht="12" customHeight="1" thickBot="1">
      <c r="A131" s="44" t="s">
        <v>18</v>
      </c>
      <c r="B131" s="21" t="s">
        <v>446</v>
      </c>
      <c r="C131" s="46">
        <f t="shared" ref="C131:H131" si="24">+C96+C117</f>
        <v>98776182</v>
      </c>
      <c r="D131" s="46">
        <f t="shared" si="24"/>
        <v>98776182</v>
      </c>
      <c r="E131" s="46">
        <f t="shared" si="24"/>
        <v>107347927</v>
      </c>
      <c r="F131" s="46">
        <f t="shared" si="24"/>
        <v>107347927</v>
      </c>
      <c r="G131" s="46">
        <f t="shared" si="24"/>
        <v>121860759</v>
      </c>
      <c r="H131" s="46">
        <f t="shared" si="24"/>
        <v>119311869</v>
      </c>
      <c r="I131" s="46">
        <f>+I96+I117</f>
        <v>119311869</v>
      </c>
    </row>
    <row r="132" spans="1:9" s="36" customFormat="1" ht="12" customHeight="1" thickBot="1">
      <c r="A132" s="44" t="s">
        <v>19</v>
      </c>
      <c r="B132" s="21" t="s">
        <v>447</v>
      </c>
      <c r="C132" s="46">
        <f t="shared" ref="C132:H132" si="25">+C133+C134+C135</f>
        <v>0</v>
      </c>
      <c r="D132" s="46">
        <f t="shared" si="25"/>
        <v>0</v>
      </c>
      <c r="E132" s="46">
        <f t="shared" si="25"/>
        <v>0</v>
      </c>
      <c r="F132" s="46">
        <f t="shared" si="25"/>
        <v>0</v>
      </c>
      <c r="G132" s="46">
        <f t="shared" si="25"/>
        <v>0</v>
      </c>
      <c r="H132" s="46">
        <f t="shared" si="25"/>
        <v>0</v>
      </c>
      <c r="I132" s="46">
        <f>+I133+I134+I135</f>
        <v>0</v>
      </c>
    </row>
    <row r="133" spans="1:9" s="36" customFormat="1" ht="12" customHeight="1">
      <c r="A133" s="48" t="s">
        <v>259</v>
      </c>
      <c r="B133" s="101" t="s">
        <v>454</v>
      </c>
      <c r="C133" s="102"/>
      <c r="D133" s="102"/>
      <c r="E133" s="102"/>
      <c r="F133" s="102"/>
      <c r="G133" s="102"/>
      <c r="H133" s="102"/>
      <c r="I133" s="102"/>
    </row>
    <row r="134" spans="1:9" s="36" customFormat="1" ht="12" customHeight="1">
      <c r="A134" s="48" t="s">
        <v>262</v>
      </c>
      <c r="B134" s="101" t="s">
        <v>455</v>
      </c>
      <c r="C134" s="102"/>
      <c r="D134" s="102"/>
      <c r="E134" s="102"/>
      <c r="F134" s="102"/>
      <c r="G134" s="102"/>
      <c r="H134" s="102"/>
      <c r="I134" s="102"/>
    </row>
    <row r="135" spans="1:9" s="36" customFormat="1" ht="12" customHeight="1" thickBot="1">
      <c r="A135" s="94" t="s">
        <v>263</v>
      </c>
      <c r="B135" s="101" t="s">
        <v>456</v>
      </c>
      <c r="C135" s="102"/>
      <c r="D135" s="102"/>
      <c r="E135" s="102"/>
      <c r="F135" s="102"/>
      <c r="G135" s="102"/>
      <c r="H135" s="102"/>
      <c r="I135" s="102"/>
    </row>
    <row r="136" spans="1:9" s="36" customFormat="1" ht="12" customHeight="1" thickBot="1">
      <c r="A136" s="44" t="s">
        <v>20</v>
      </c>
      <c r="B136" s="21" t="s">
        <v>448</v>
      </c>
      <c r="C136" s="46">
        <f t="shared" ref="C136:H136" si="26">SUM(C137:C142)</f>
        <v>0</v>
      </c>
      <c r="D136" s="46">
        <f t="shared" si="26"/>
        <v>0</v>
      </c>
      <c r="E136" s="46">
        <f t="shared" si="26"/>
        <v>0</v>
      </c>
      <c r="F136" s="46">
        <f t="shared" si="26"/>
        <v>0</v>
      </c>
      <c r="G136" s="46">
        <f t="shared" si="26"/>
        <v>0</v>
      </c>
      <c r="H136" s="46">
        <f t="shared" si="26"/>
        <v>0</v>
      </c>
      <c r="I136" s="46">
        <f>SUM(I137:I142)</f>
        <v>0</v>
      </c>
    </row>
    <row r="137" spans="1:9" s="36" customFormat="1" ht="12" customHeight="1">
      <c r="A137" s="48" t="s">
        <v>88</v>
      </c>
      <c r="B137" s="20" t="s">
        <v>457</v>
      </c>
      <c r="C137" s="102"/>
      <c r="D137" s="102"/>
      <c r="E137" s="102"/>
      <c r="F137" s="102"/>
      <c r="G137" s="102"/>
      <c r="H137" s="102"/>
      <c r="I137" s="102"/>
    </row>
    <row r="138" spans="1:9" s="36" customFormat="1" ht="12" customHeight="1">
      <c r="A138" s="48" t="s">
        <v>89</v>
      </c>
      <c r="B138" s="20" t="s">
        <v>449</v>
      </c>
      <c r="C138" s="102"/>
      <c r="D138" s="102"/>
      <c r="E138" s="102"/>
      <c r="F138" s="102"/>
      <c r="G138" s="102"/>
      <c r="H138" s="102"/>
      <c r="I138" s="102"/>
    </row>
    <row r="139" spans="1:9" s="36" customFormat="1" ht="12" customHeight="1">
      <c r="A139" s="48" t="s">
        <v>90</v>
      </c>
      <c r="B139" s="20" t="s">
        <v>450</v>
      </c>
      <c r="C139" s="102"/>
      <c r="D139" s="102"/>
      <c r="E139" s="102"/>
      <c r="F139" s="102"/>
      <c r="G139" s="102"/>
      <c r="H139" s="102"/>
      <c r="I139" s="102"/>
    </row>
    <row r="140" spans="1:9" s="36" customFormat="1" ht="12" customHeight="1">
      <c r="A140" s="48" t="s">
        <v>166</v>
      </c>
      <c r="B140" s="20" t="s">
        <v>451</v>
      </c>
      <c r="C140" s="102"/>
      <c r="D140" s="102"/>
      <c r="E140" s="102"/>
      <c r="F140" s="102"/>
      <c r="G140" s="102"/>
      <c r="H140" s="102"/>
      <c r="I140" s="102"/>
    </row>
    <row r="141" spans="1:9" s="36" customFormat="1" ht="12" customHeight="1">
      <c r="A141" s="48" t="s">
        <v>167</v>
      </c>
      <c r="B141" s="20" t="s">
        <v>452</v>
      </c>
      <c r="C141" s="102"/>
      <c r="D141" s="102"/>
      <c r="E141" s="102"/>
      <c r="F141" s="102"/>
      <c r="G141" s="102"/>
      <c r="H141" s="102"/>
      <c r="I141" s="102"/>
    </row>
    <row r="142" spans="1:9" s="36" customFormat="1" ht="12" customHeight="1" thickBot="1">
      <c r="A142" s="94" t="s">
        <v>168</v>
      </c>
      <c r="B142" s="20" t="s">
        <v>453</v>
      </c>
      <c r="C142" s="102"/>
      <c r="D142" s="102"/>
      <c r="E142" s="102"/>
      <c r="F142" s="102"/>
      <c r="G142" s="102"/>
      <c r="H142" s="102"/>
      <c r="I142" s="102"/>
    </row>
    <row r="143" spans="1:9" s="36" customFormat="1" ht="12" customHeight="1" thickBot="1">
      <c r="A143" s="44" t="s">
        <v>21</v>
      </c>
      <c r="B143" s="21" t="s">
        <v>461</v>
      </c>
      <c r="C143" s="60">
        <f t="shared" ref="C143:H143" si="27">+C144+C145+C146+C147</f>
        <v>0</v>
      </c>
      <c r="D143" s="60">
        <f t="shared" si="27"/>
        <v>0</v>
      </c>
      <c r="E143" s="60">
        <f t="shared" si="27"/>
        <v>0</v>
      </c>
      <c r="F143" s="60">
        <f t="shared" si="27"/>
        <v>0</v>
      </c>
      <c r="G143" s="60">
        <f t="shared" si="27"/>
        <v>0</v>
      </c>
      <c r="H143" s="60">
        <f t="shared" si="27"/>
        <v>0</v>
      </c>
      <c r="I143" s="60">
        <f>+I144+I145+I146+I147</f>
        <v>0</v>
      </c>
    </row>
    <row r="144" spans="1:9" s="36" customFormat="1" ht="12" customHeight="1">
      <c r="A144" s="48" t="s">
        <v>91</v>
      </c>
      <c r="B144" s="20" t="s">
        <v>368</v>
      </c>
      <c r="C144" s="102"/>
      <c r="D144" s="102"/>
      <c r="E144" s="102"/>
      <c r="F144" s="102"/>
      <c r="G144" s="102"/>
      <c r="H144" s="102"/>
      <c r="I144" s="102"/>
    </row>
    <row r="145" spans="1:9" s="36" customFormat="1" ht="12" customHeight="1">
      <c r="A145" s="48" t="s">
        <v>92</v>
      </c>
      <c r="B145" s="20" t="s">
        <v>369</v>
      </c>
      <c r="C145" s="102"/>
      <c r="D145" s="102"/>
      <c r="E145" s="102"/>
      <c r="F145" s="102"/>
      <c r="G145" s="102"/>
      <c r="H145" s="102"/>
      <c r="I145" s="102"/>
    </row>
    <row r="146" spans="1:9" s="36" customFormat="1" ht="12" customHeight="1">
      <c r="A146" s="48" t="s">
        <v>283</v>
      </c>
      <c r="B146" s="20" t="s">
        <v>462</v>
      </c>
      <c r="C146" s="102"/>
      <c r="D146" s="102"/>
      <c r="E146" s="102"/>
      <c r="F146" s="102"/>
      <c r="G146" s="102"/>
      <c r="H146" s="102"/>
      <c r="I146" s="102"/>
    </row>
    <row r="147" spans="1:9" s="36" customFormat="1" ht="12" customHeight="1" thickBot="1">
      <c r="A147" s="94" t="s">
        <v>284</v>
      </c>
      <c r="B147" s="19" t="s">
        <v>388</v>
      </c>
      <c r="C147" s="102"/>
      <c r="D147" s="102"/>
      <c r="E147" s="102"/>
      <c r="F147" s="102"/>
      <c r="G147" s="102"/>
      <c r="H147" s="102"/>
      <c r="I147" s="102"/>
    </row>
    <row r="148" spans="1:9" s="36" customFormat="1" ht="12" customHeight="1" thickBot="1">
      <c r="A148" s="44" t="s">
        <v>22</v>
      </c>
      <c r="B148" s="21" t="s">
        <v>463</v>
      </c>
      <c r="C148" s="105">
        <f t="shared" ref="C148:H148" si="28">SUM(C149:C153)</f>
        <v>0</v>
      </c>
      <c r="D148" s="105">
        <f t="shared" si="28"/>
        <v>0</v>
      </c>
      <c r="E148" s="105">
        <f t="shared" si="28"/>
        <v>0</v>
      </c>
      <c r="F148" s="105">
        <f t="shared" si="28"/>
        <v>0</v>
      </c>
      <c r="G148" s="105">
        <f t="shared" si="28"/>
        <v>0</v>
      </c>
      <c r="H148" s="105">
        <f t="shared" si="28"/>
        <v>0</v>
      </c>
      <c r="I148" s="105">
        <f>SUM(I149:I153)</f>
        <v>0</v>
      </c>
    </row>
    <row r="149" spans="1:9" s="36" customFormat="1" ht="12" customHeight="1">
      <c r="A149" s="48" t="s">
        <v>93</v>
      </c>
      <c r="B149" s="20" t="s">
        <v>458</v>
      </c>
      <c r="C149" s="102"/>
      <c r="D149" s="102"/>
      <c r="E149" s="102"/>
      <c r="F149" s="102"/>
      <c r="G149" s="102"/>
      <c r="H149" s="102"/>
      <c r="I149" s="102"/>
    </row>
    <row r="150" spans="1:9" s="36" customFormat="1" ht="12" customHeight="1">
      <c r="A150" s="48" t="s">
        <v>94</v>
      </c>
      <c r="B150" s="20" t="s">
        <v>465</v>
      </c>
      <c r="C150" s="102"/>
      <c r="D150" s="102"/>
      <c r="E150" s="102"/>
      <c r="F150" s="102"/>
      <c r="G150" s="102"/>
      <c r="H150" s="102"/>
      <c r="I150" s="102"/>
    </row>
    <row r="151" spans="1:9" s="36" customFormat="1" ht="12" customHeight="1">
      <c r="A151" s="48" t="s">
        <v>295</v>
      </c>
      <c r="B151" s="20" t="s">
        <v>460</v>
      </c>
      <c r="C151" s="102"/>
      <c r="D151" s="102"/>
      <c r="E151" s="102"/>
      <c r="F151" s="102"/>
      <c r="G151" s="102"/>
      <c r="H151" s="102"/>
      <c r="I151" s="102"/>
    </row>
    <row r="152" spans="1:9" s="36" customFormat="1" ht="12" customHeight="1">
      <c r="A152" s="48" t="s">
        <v>296</v>
      </c>
      <c r="B152" s="20" t="s">
        <v>466</v>
      </c>
      <c r="C152" s="102"/>
      <c r="D152" s="102"/>
      <c r="E152" s="102"/>
      <c r="F152" s="102"/>
      <c r="G152" s="102"/>
      <c r="H152" s="102"/>
      <c r="I152" s="102"/>
    </row>
    <row r="153" spans="1:9" s="36" customFormat="1" ht="12" customHeight="1" thickBot="1">
      <c r="A153" s="48" t="s">
        <v>464</v>
      </c>
      <c r="B153" s="20" t="s">
        <v>467</v>
      </c>
      <c r="C153" s="102"/>
      <c r="D153" s="102"/>
      <c r="E153" s="102"/>
      <c r="F153" s="102"/>
      <c r="G153" s="102"/>
      <c r="H153" s="102"/>
      <c r="I153" s="102"/>
    </row>
    <row r="154" spans="1:9" s="36" customFormat="1" ht="12" customHeight="1" thickBot="1">
      <c r="A154" s="44" t="s">
        <v>23</v>
      </c>
      <c r="B154" s="21" t="s">
        <v>468</v>
      </c>
      <c r="C154" s="106"/>
      <c r="D154" s="106"/>
      <c r="E154" s="106"/>
      <c r="F154" s="106"/>
      <c r="G154" s="106"/>
      <c r="H154" s="106"/>
      <c r="I154" s="106"/>
    </row>
    <row r="155" spans="1:9" s="36" customFormat="1" ht="12" customHeight="1" thickBot="1">
      <c r="A155" s="44" t="s">
        <v>24</v>
      </c>
      <c r="B155" s="21" t="s">
        <v>469</v>
      </c>
      <c r="C155" s="106"/>
      <c r="D155" s="106"/>
      <c r="E155" s="106"/>
      <c r="F155" s="106"/>
      <c r="G155" s="106"/>
      <c r="H155" s="106"/>
      <c r="I155" s="106"/>
    </row>
    <row r="156" spans="1:9" s="36" customFormat="1" ht="15" customHeight="1" thickBot="1">
      <c r="A156" s="44" t="s">
        <v>25</v>
      </c>
      <c r="B156" s="21" t="s">
        <v>471</v>
      </c>
      <c r="C156" s="107">
        <f t="shared" ref="C156:H156" si="29">+C132+C136+C143+C148+C154+C155</f>
        <v>0</v>
      </c>
      <c r="D156" s="107">
        <f t="shared" si="29"/>
        <v>0</v>
      </c>
      <c r="E156" s="107">
        <f t="shared" si="29"/>
        <v>0</v>
      </c>
      <c r="F156" s="107">
        <f t="shared" si="29"/>
        <v>0</v>
      </c>
      <c r="G156" s="107">
        <f t="shared" si="29"/>
        <v>0</v>
      </c>
      <c r="H156" s="107">
        <f t="shared" si="29"/>
        <v>0</v>
      </c>
      <c r="I156" s="107">
        <f>+I132+I136+I143+I148+I154+I155</f>
        <v>0</v>
      </c>
    </row>
    <row r="157" spans="1:9" s="47" customFormat="1" ht="12.95" customHeight="1" thickBot="1">
      <c r="A157" s="109" t="s">
        <v>26</v>
      </c>
      <c r="B157" s="110" t="s">
        <v>470</v>
      </c>
      <c r="C157" s="107">
        <f t="shared" ref="C157:H157" si="30">+C131+C156</f>
        <v>98776182</v>
      </c>
      <c r="D157" s="107">
        <f t="shared" si="30"/>
        <v>98776182</v>
      </c>
      <c r="E157" s="107">
        <f t="shared" si="30"/>
        <v>107347927</v>
      </c>
      <c r="F157" s="107">
        <f t="shared" si="30"/>
        <v>107347927</v>
      </c>
      <c r="G157" s="107">
        <f t="shared" si="30"/>
        <v>121860759</v>
      </c>
      <c r="H157" s="107">
        <f t="shared" si="30"/>
        <v>119311869</v>
      </c>
      <c r="I157" s="107">
        <f>+I131+I156</f>
        <v>119311869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2" orientation="landscape" verticalDpi="300" r:id="rId1"/>
  <headerFooter alignWithMargins="0">
    <oddFooter>&amp;P. oldal, összesen: &amp;N</oddFooter>
  </headerFooter>
  <rowBreaks count="3" manualBreakCount="3">
    <brk id="49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I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31" customWidth="1"/>
    <col min="2" max="2" width="72" style="10" customWidth="1"/>
    <col min="3" max="9" width="25" style="32" customWidth="1"/>
    <col min="10" max="16384" width="9.33203125" style="121"/>
  </cols>
  <sheetData>
    <row r="1" spans="1:9" s="113" customFormat="1" ht="16.5" customHeight="1" thickBot="1">
      <c r="A1" s="1"/>
      <c r="B1" s="114" t="s">
        <v>793</v>
      </c>
      <c r="C1" s="114"/>
      <c r="D1" s="114"/>
      <c r="E1" s="114"/>
      <c r="F1" s="114"/>
      <c r="G1" s="114"/>
      <c r="H1" s="114"/>
      <c r="I1" s="114"/>
    </row>
    <row r="2" spans="1:9" s="116" customFormat="1" ht="21" customHeight="1">
      <c r="A2" s="2" t="s">
        <v>58</v>
      </c>
      <c r="B2" s="3" t="s">
        <v>538</v>
      </c>
      <c r="C2" s="115" t="s">
        <v>51</v>
      </c>
      <c r="D2" s="115" t="s">
        <v>51</v>
      </c>
      <c r="E2" s="115" t="s">
        <v>51</v>
      </c>
      <c r="F2" s="115" t="s">
        <v>51</v>
      </c>
      <c r="G2" s="115" t="s">
        <v>51</v>
      </c>
      <c r="H2" s="115" t="s">
        <v>51</v>
      </c>
      <c r="I2" s="115" t="s">
        <v>51</v>
      </c>
    </row>
    <row r="3" spans="1:9" s="116" customFormat="1" ht="16.5" thickBot="1">
      <c r="A3" s="117" t="s">
        <v>193</v>
      </c>
      <c r="B3" s="4" t="s">
        <v>521</v>
      </c>
      <c r="C3" s="118" t="s">
        <v>427</v>
      </c>
      <c r="D3" s="118" t="s">
        <v>427</v>
      </c>
      <c r="E3" s="118" t="s">
        <v>427</v>
      </c>
      <c r="F3" s="118" t="s">
        <v>427</v>
      </c>
      <c r="G3" s="118" t="s">
        <v>427</v>
      </c>
      <c r="H3" s="118" t="s">
        <v>427</v>
      </c>
      <c r="I3" s="118" t="s">
        <v>427</v>
      </c>
    </row>
    <row r="4" spans="1:9" s="119" customFormat="1" ht="15.95" customHeight="1" thickBot="1">
      <c r="A4" s="5"/>
      <c r="B4" s="5"/>
      <c r="C4" s="6" t="s">
        <v>588</v>
      </c>
      <c r="D4" s="6" t="s">
        <v>588</v>
      </c>
      <c r="E4" s="6" t="s">
        <v>588</v>
      </c>
      <c r="F4" s="6" t="s">
        <v>588</v>
      </c>
      <c r="G4" s="6" t="s">
        <v>588</v>
      </c>
      <c r="H4" s="6" t="s">
        <v>588</v>
      </c>
      <c r="I4" s="6" t="s">
        <v>588</v>
      </c>
    </row>
    <row r="5" spans="1:9" ht="26.25" thickBot="1">
      <c r="A5" s="7" t="s">
        <v>195</v>
      </c>
      <c r="B5" s="8" t="s">
        <v>52</v>
      </c>
      <c r="C5" s="120" t="s">
        <v>687</v>
      </c>
      <c r="D5" s="270" t="s">
        <v>738</v>
      </c>
      <c r="E5" s="270" t="s">
        <v>743</v>
      </c>
      <c r="F5" s="270" t="s">
        <v>758</v>
      </c>
      <c r="G5" s="270" t="s">
        <v>760</v>
      </c>
      <c r="H5" s="270" t="s">
        <v>773</v>
      </c>
      <c r="I5" s="270" t="s">
        <v>780</v>
      </c>
    </row>
    <row r="6" spans="1:9" s="122" customFormat="1" ht="12.95" customHeight="1" thickBot="1">
      <c r="A6" s="11" t="s">
        <v>485</v>
      </c>
      <c r="B6" s="12" t="s">
        <v>486</v>
      </c>
      <c r="C6" s="13" t="s">
        <v>487</v>
      </c>
      <c r="D6" s="13" t="s">
        <v>487</v>
      </c>
      <c r="E6" s="13" t="s">
        <v>487</v>
      </c>
      <c r="F6" s="13" t="s">
        <v>487</v>
      </c>
      <c r="G6" s="13" t="s">
        <v>487</v>
      </c>
      <c r="H6" s="13" t="s">
        <v>487</v>
      </c>
      <c r="I6" s="13" t="s">
        <v>487</v>
      </c>
    </row>
    <row r="7" spans="1:9" s="122" customFormat="1" ht="15.95" customHeight="1" thickBot="1">
      <c r="A7" s="14"/>
      <c r="B7" s="15" t="s">
        <v>53</v>
      </c>
      <c r="C7" s="123"/>
      <c r="D7" s="123"/>
      <c r="E7" s="123"/>
      <c r="F7" s="123"/>
      <c r="G7" s="123"/>
      <c r="H7" s="123"/>
      <c r="I7" s="123"/>
    </row>
    <row r="8" spans="1:9" s="122" customFormat="1" ht="12" customHeight="1" thickBot="1">
      <c r="A8" s="81" t="s">
        <v>16</v>
      </c>
      <c r="B8" s="45" t="s">
        <v>243</v>
      </c>
      <c r="C8" s="46">
        <f t="shared" ref="C8:H8" si="0">+C9+C10+C11+C12+C13+C14</f>
        <v>0</v>
      </c>
      <c r="D8" s="46">
        <f t="shared" si="0"/>
        <v>0</v>
      </c>
      <c r="E8" s="46">
        <f t="shared" si="0"/>
        <v>0</v>
      </c>
      <c r="F8" s="46">
        <f t="shared" si="0"/>
        <v>0</v>
      </c>
      <c r="G8" s="46">
        <f t="shared" si="0"/>
        <v>0</v>
      </c>
      <c r="H8" s="46">
        <f t="shared" si="0"/>
        <v>0</v>
      </c>
      <c r="I8" s="46">
        <f>+I9+I10+I11+I12+I13+I14</f>
        <v>0</v>
      </c>
    </row>
    <row r="9" spans="1:9" s="244" customFormat="1" ht="12" customHeight="1">
      <c r="A9" s="243" t="s">
        <v>95</v>
      </c>
      <c r="B9" s="49" t="s">
        <v>244</v>
      </c>
      <c r="C9" s="50"/>
      <c r="D9" s="50"/>
      <c r="E9" s="50"/>
      <c r="F9" s="50"/>
      <c r="G9" s="50"/>
      <c r="H9" s="50"/>
      <c r="I9" s="50"/>
    </row>
    <row r="10" spans="1:9" s="246" customFormat="1" ht="12" customHeight="1">
      <c r="A10" s="245" t="s">
        <v>96</v>
      </c>
      <c r="B10" s="52" t="s">
        <v>245</v>
      </c>
      <c r="C10" s="53"/>
      <c r="D10" s="53"/>
      <c r="E10" s="53"/>
      <c r="F10" s="53"/>
      <c r="G10" s="53"/>
      <c r="H10" s="53"/>
      <c r="I10" s="53"/>
    </row>
    <row r="11" spans="1:9" s="246" customFormat="1" ht="12" customHeight="1">
      <c r="A11" s="245" t="s">
        <v>97</v>
      </c>
      <c r="B11" s="52" t="s">
        <v>246</v>
      </c>
      <c r="C11" s="53"/>
      <c r="D11" s="53"/>
      <c r="E11" s="53"/>
      <c r="F11" s="53"/>
      <c r="G11" s="53"/>
      <c r="H11" s="53"/>
      <c r="I11" s="53"/>
    </row>
    <row r="12" spans="1:9" s="246" customFormat="1" ht="12" customHeight="1">
      <c r="A12" s="245" t="s">
        <v>98</v>
      </c>
      <c r="B12" s="52" t="s">
        <v>247</v>
      </c>
      <c r="C12" s="53"/>
      <c r="D12" s="53"/>
      <c r="E12" s="53"/>
      <c r="F12" s="53"/>
      <c r="G12" s="53"/>
      <c r="H12" s="53"/>
      <c r="I12" s="53"/>
    </row>
    <row r="13" spans="1:9" s="246" customFormat="1" ht="12" customHeight="1">
      <c r="A13" s="245" t="s">
        <v>141</v>
      </c>
      <c r="B13" s="52" t="s">
        <v>499</v>
      </c>
      <c r="C13" s="53"/>
      <c r="D13" s="53"/>
      <c r="E13" s="53"/>
      <c r="F13" s="53"/>
      <c r="G13" s="53"/>
      <c r="H13" s="53"/>
      <c r="I13" s="53"/>
    </row>
    <row r="14" spans="1:9" s="244" customFormat="1" ht="12" customHeight="1" thickBot="1">
      <c r="A14" s="247" t="s">
        <v>99</v>
      </c>
      <c r="B14" s="59" t="s">
        <v>429</v>
      </c>
      <c r="C14" s="53"/>
      <c r="D14" s="53"/>
      <c r="E14" s="53"/>
      <c r="F14" s="53"/>
      <c r="G14" s="53"/>
      <c r="H14" s="53"/>
      <c r="I14" s="53"/>
    </row>
    <row r="15" spans="1:9" s="244" customFormat="1" ht="12" customHeight="1" thickBot="1">
      <c r="A15" s="81" t="s">
        <v>17</v>
      </c>
      <c r="B15" s="57" t="s">
        <v>248</v>
      </c>
      <c r="C15" s="46">
        <f t="shared" ref="C15:H15" si="1">+C16+C17+C18+C19+C20</f>
        <v>0</v>
      </c>
      <c r="D15" s="46">
        <f t="shared" si="1"/>
        <v>0</v>
      </c>
      <c r="E15" s="46">
        <f t="shared" si="1"/>
        <v>0</v>
      </c>
      <c r="F15" s="46">
        <f t="shared" si="1"/>
        <v>0</v>
      </c>
      <c r="G15" s="46">
        <f t="shared" si="1"/>
        <v>0</v>
      </c>
      <c r="H15" s="46">
        <f t="shared" si="1"/>
        <v>0</v>
      </c>
      <c r="I15" s="46">
        <f>+I16+I17+I18+I19+I20</f>
        <v>0</v>
      </c>
    </row>
    <row r="16" spans="1:9" s="244" customFormat="1" ht="12" customHeight="1">
      <c r="A16" s="243" t="s">
        <v>101</v>
      </c>
      <c r="B16" s="49" t="s">
        <v>249</v>
      </c>
      <c r="C16" s="50"/>
      <c r="D16" s="50"/>
      <c r="E16" s="50"/>
      <c r="F16" s="50"/>
      <c r="G16" s="50"/>
      <c r="H16" s="50"/>
      <c r="I16" s="50"/>
    </row>
    <row r="17" spans="1:9" s="244" customFormat="1" ht="12" customHeight="1">
      <c r="A17" s="245" t="s">
        <v>102</v>
      </c>
      <c r="B17" s="52" t="s">
        <v>250</v>
      </c>
      <c r="C17" s="53"/>
      <c r="D17" s="53"/>
      <c r="E17" s="53"/>
      <c r="F17" s="53"/>
      <c r="G17" s="53"/>
      <c r="H17" s="53"/>
      <c r="I17" s="53"/>
    </row>
    <row r="18" spans="1:9" s="244" customFormat="1" ht="12" customHeight="1">
      <c r="A18" s="245" t="s">
        <v>103</v>
      </c>
      <c r="B18" s="52" t="s">
        <v>418</v>
      </c>
      <c r="C18" s="53"/>
      <c r="D18" s="53"/>
      <c r="E18" s="53"/>
      <c r="F18" s="53"/>
      <c r="G18" s="53"/>
      <c r="H18" s="53"/>
      <c r="I18" s="53"/>
    </row>
    <row r="19" spans="1:9" s="244" customFormat="1" ht="12" customHeight="1">
      <c r="A19" s="245" t="s">
        <v>104</v>
      </c>
      <c r="B19" s="52" t="s">
        <v>419</v>
      </c>
      <c r="C19" s="53"/>
      <c r="D19" s="53"/>
      <c r="E19" s="53"/>
      <c r="F19" s="53"/>
      <c r="G19" s="53"/>
      <c r="H19" s="53"/>
      <c r="I19" s="53"/>
    </row>
    <row r="20" spans="1:9" s="244" customFormat="1" ht="12" customHeight="1">
      <c r="A20" s="245" t="s">
        <v>105</v>
      </c>
      <c r="B20" s="52" t="s">
        <v>251</v>
      </c>
      <c r="C20" s="53"/>
      <c r="D20" s="53"/>
      <c r="E20" s="53"/>
      <c r="F20" s="53"/>
      <c r="G20" s="53"/>
      <c r="H20" s="53"/>
      <c r="I20" s="53"/>
    </row>
    <row r="21" spans="1:9" s="246" customFormat="1" ht="12" customHeight="1" thickBot="1">
      <c r="A21" s="247" t="s">
        <v>114</v>
      </c>
      <c r="B21" s="59" t="s">
        <v>252</v>
      </c>
      <c r="C21" s="58"/>
      <c r="D21" s="58"/>
      <c r="E21" s="58"/>
      <c r="F21" s="58"/>
      <c r="G21" s="58"/>
      <c r="H21" s="58"/>
      <c r="I21" s="58"/>
    </row>
    <row r="22" spans="1:9" s="246" customFormat="1" ht="12" customHeight="1" thickBot="1">
      <c r="A22" s="81" t="s">
        <v>18</v>
      </c>
      <c r="B22" s="45" t="s">
        <v>253</v>
      </c>
      <c r="C22" s="46">
        <f t="shared" ref="C22:H22" si="2">+C23+C24+C25+C26+C27</f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46">
        <f t="shared" si="2"/>
        <v>0</v>
      </c>
      <c r="I22" s="46">
        <f>+I23+I24+I25+I26+I27</f>
        <v>0</v>
      </c>
    </row>
    <row r="23" spans="1:9" s="246" customFormat="1" ht="12" customHeight="1">
      <c r="A23" s="243" t="s">
        <v>84</v>
      </c>
      <c r="B23" s="49" t="s">
        <v>254</v>
      </c>
      <c r="C23" s="50"/>
      <c r="D23" s="50"/>
      <c r="E23" s="50"/>
      <c r="F23" s="50"/>
      <c r="G23" s="50"/>
      <c r="H23" s="50"/>
      <c r="I23" s="50"/>
    </row>
    <row r="24" spans="1:9" s="244" customFormat="1" ht="12" customHeight="1">
      <c r="A24" s="245" t="s">
        <v>85</v>
      </c>
      <c r="B24" s="52" t="s">
        <v>255</v>
      </c>
      <c r="C24" s="53"/>
      <c r="D24" s="53"/>
      <c r="E24" s="53"/>
      <c r="F24" s="53"/>
      <c r="G24" s="53"/>
      <c r="H24" s="53"/>
      <c r="I24" s="53"/>
    </row>
    <row r="25" spans="1:9" s="246" customFormat="1" ht="12" customHeight="1">
      <c r="A25" s="245" t="s">
        <v>86</v>
      </c>
      <c r="B25" s="52" t="s">
        <v>420</v>
      </c>
      <c r="C25" s="53"/>
      <c r="D25" s="53"/>
      <c r="E25" s="53"/>
      <c r="F25" s="53"/>
      <c r="G25" s="53"/>
      <c r="H25" s="53"/>
      <c r="I25" s="53"/>
    </row>
    <row r="26" spans="1:9" s="246" customFormat="1" ht="12" customHeight="1">
      <c r="A26" s="245" t="s">
        <v>87</v>
      </c>
      <c r="B26" s="52" t="s">
        <v>421</v>
      </c>
      <c r="C26" s="53"/>
      <c r="D26" s="53"/>
      <c r="E26" s="53"/>
      <c r="F26" s="53"/>
      <c r="G26" s="53"/>
      <c r="H26" s="53"/>
      <c r="I26" s="53"/>
    </row>
    <row r="27" spans="1:9" s="246" customFormat="1" ht="12" customHeight="1">
      <c r="A27" s="245" t="s">
        <v>162</v>
      </c>
      <c r="B27" s="52" t="s">
        <v>256</v>
      </c>
      <c r="C27" s="53"/>
      <c r="D27" s="53"/>
      <c r="E27" s="53"/>
      <c r="F27" s="53"/>
      <c r="G27" s="53"/>
      <c r="H27" s="53"/>
      <c r="I27" s="53"/>
    </row>
    <row r="28" spans="1:9" s="246" customFormat="1" ht="12" customHeight="1" thickBot="1">
      <c r="A28" s="247" t="s">
        <v>163</v>
      </c>
      <c r="B28" s="59" t="s">
        <v>257</v>
      </c>
      <c r="C28" s="58"/>
      <c r="D28" s="58"/>
      <c r="E28" s="58"/>
      <c r="F28" s="58"/>
      <c r="G28" s="58"/>
      <c r="H28" s="58"/>
      <c r="I28" s="58"/>
    </row>
    <row r="29" spans="1:9" s="246" customFormat="1" ht="12" customHeight="1" thickBot="1">
      <c r="A29" s="81" t="s">
        <v>164</v>
      </c>
      <c r="B29" s="45" t="s">
        <v>258</v>
      </c>
      <c r="C29" s="60">
        <f t="shared" ref="C29:H29" si="3">+C30+C34+C35+C36</f>
        <v>0</v>
      </c>
      <c r="D29" s="60">
        <f t="shared" si="3"/>
        <v>0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0">
        <f>+I30+I34+I35+I36</f>
        <v>0</v>
      </c>
    </row>
    <row r="30" spans="1:9" s="246" customFormat="1" ht="12" customHeight="1">
      <c r="A30" s="243" t="s">
        <v>259</v>
      </c>
      <c r="B30" s="49" t="s">
        <v>500</v>
      </c>
      <c r="C30" s="61">
        <f t="shared" ref="C30:H30" si="4">+C31+C32+C33</f>
        <v>0</v>
      </c>
      <c r="D30" s="61">
        <f t="shared" si="4"/>
        <v>0</v>
      </c>
      <c r="E30" s="61">
        <f t="shared" si="4"/>
        <v>0</v>
      </c>
      <c r="F30" s="61">
        <f t="shared" si="4"/>
        <v>0</v>
      </c>
      <c r="G30" s="61">
        <f t="shared" si="4"/>
        <v>0</v>
      </c>
      <c r="H30" s="61">
        <f t="shared" si="4"/>
        <v>0</v>
      </c>
      <c r="I30" s="61">
        <f>+I31+I32+I33</f>
        <v>0</v>
      </c>
    </row>
    <row r="31" spans="1:9" s="246" customFormat="1" ht="12" customHeight="1">
      <c r="A31" s="245" t="s">
        <v>260</v>
      </c>
      <c r="B31" s="52" t="s">
        <v>265</v>
      </c>
      <c r="C31" s="53"/>
      <c r="D31" s="53"/>
      <c r="E31" s="53"/>
      <c r="F31" s="53"/>
      <c r="G31" s="53"/>
      <c r="H31" s="53"/>
      <c r="I31" s="53"/>
    </row>
    <row r="32" spans="1:9" s="246" customFormat="1" ht="12" customHeight="1">
      <c r="A32" s="245" t="s">
        <v>261</v>
      </c>
      <c r="B32" s="52" t="s">
        <v>266</v>
      </c>
      <c r="C32" s="53"/>
      <c r="D32" s="53"/>
      <c r="E32" s="53"/>
      <c r="F32" s="53"/>
      <c r="G32" s="53"/>
      <c r="H32" s="53"/>
      <c r="I32" s="53"/>
    </row>
    <row r="33" spans="1:9" s="246" customFormat="1" ht="12" customHeight="1">
      <c r="A33" s="245" t="s">
        <v>433</v>
      </c>
      <c r="B33" s="62" t="s">
        <v>434</v>
      </c>
      <c r="C33" s="53"/>
      <c r="D33" s="53"/>
      <c r="E33" s="53"/>
      <c r="F33" s="53"/>
      <c r="G33" s="53"/>
      <c r="H33" s="53"/>
      <c r="I33" s="53"/>
    </row>
    <row r="34" spans="1:9" s="246" customFormat="1" ht="12" customHeight="1">
      <c r="A34" s="245" t="s">
        <v>262</v>
      </c>
      <c r="B34" s="52" t="s">
        <v>267</v>
      </c>
      <c r="C34" s="53"/>
      <c r="D34" s="53"/>
      <c r="E34" s="53"/>
      <c r="F34" s="53"/>
      <c r="G34" s="53"/>
      <c r="H34" s="53"/>
      <c r="I34" s="53"/>
    </row>
    <row r="35" spans="1:9" s="246" customFormat="1" ht="12" customHeight="1">
      <c r="A35" s="245" t="s">
        <v>263</v>
      </c>
      <c r="B35" s="52" t="s">
        <v>268</v>
      </c>
      <c r="C35" s="53"/>
      <c r="D35" s="53"/>
      <c r="E35" s="53"/>
      <c r="F35" s="53"/>
      <c r="G35" s="53"/>
      <c r="H35" s="53"/>
      <c r="I35" s="53"/>
    </row>
    <row r="36" spans="1:9" s="246" customFormat="1" ht="12" customHeight="1" thickBot="1">
      <c r="A36" s="247" t="s">
        <v>264</v>
      </c>
      <c r="B36" s="59" t="s">
        <v>269</v>
      </c>
      <c r="C36" s="58"/>
      <c r="D36" s="58"/>
      <c r="E36" s="58"/>
      <c r="F36" s="58"/>
      <c r="G36" s="58"/>
      <c r="H36" s="58"/>
      <c r="I36" s="58"/>
    </row>
    <row r="37" spans="1:9" s="246" customFormat="1" ht="12" customHeight="1" thickBot="1">
      <c r="A37" s="81" t="s">
        <v>20</v>
      </c>
      <c r="B37" s="45" t="s">
        <v>430</v>
      </c>
      <c r="C37" s="46">
        <f t="shared" ref="C37:H37" si="5">SUM(C38:C48)</f>
        <v>0</v>
      </c>
      <c r="D37" s="46">
        <f t="shared" si="5"/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46">
        <f t="shared" si="5"/>
        <v>0</v>
      </c>
      <c r="I37" s="46">
        <f>SUM(I38:I48)</f>
        <v>0</v>
      </c>
    </row>
    <row r="38" spans="1:9" s="246" customFormat="1" ht="12" customHeight="1">
      <c r="A38" s="243" t="s">
        <v>88</v>
      </c>
      <c r="B38" s="49" t="s">
        <v>272</v>
      </c>
      <c r="C38" s="50"/>
      <c r="D38" s="50"/>
      <c r="E38" s="50"/>
      <c r="F38" s="50"/>
      <c r="G38" s="50"/>
      <c r="H38" s="50"/>
      <c r="I38" s="50"/>
    </row>
    <row r="39" spans="1:9" s="246" customFormat="1" ht="12" customHeight="1">
      <c r="A39" s="245" t="s">
        <v>89</v>
      </c>
      <c r="B39" s="52" t="s">
        <v>273</v>
      </c>
      <c r="C39" s="53"/>
      <c r="D39" s="53"/>
      <c r="E39" s="53"/>
      <c r="F39" s="53"/>
      <c r="G39" s="53"/>
      <c r="H39" s="53"/>
      <c r="I39" s="53"/>
    </row>
    <row r="40" spans="1:9" s="246" customFormat="1" ht="12" customHeight="1">
      <c r="A40" s="245" t="s">
        <v>90</v>
      </c>
      <c r="B40" s="52" t="s">
        <v>274</v>
      </c>
      <c r="C40" s="53"/>
      <c r="D40" s="53"/>
      <c r="E40" s="53"/>
      <c r="F40" s="53"/>
      <c r="G40" s="53"/>
      <c r="H40" s="53"/>
      <c r="I40" s="53"/>
    </row>
    <row r="41" spans="1:9" s="246" customFormat="1" ht="12" customHeight="1">
      <c r="A41" s="245" t="s">
        <v>166</v>
      </c>
      <c r="B41" s="52" t="s">
        <v>275</v>
      </c>
      <c r="C41" s="53"/>
      <c r="D41" s="53"/>
      <c r="E41" s="53"/>
      <c r="F41" s="53"/>
      <c r="G41" s="53"/>
      <c r="H41" s="53"/>
      <c r="I41" s="53"/>
    </row>
    <row r="42" spans="1:9" s="246" customFormat="1" ht="12" customHeight="1">
      <c r="A42" s="245" t="s">
        <v>167</v>
      </c>
      <c r="B42" s="52" t="s">
        <v>276</v>
      </c>
      <c r="C42" s="53"/>
      <c r="D42" s="53"/>
      <c r="E42" s="53"/>
      <c r="F42" s="53"/>
      <c r="G42" s="53"/>
      <c r="H42" s="53"/>
      <c r="I42" s="53"/>
    </row>
    <row r="43" spans="1:9" s="246" customFormat="1" ht="12" customHeight="1">
      <c r="A43" s="245" t="s">
        <v>168</v>
      </c>
      <c r="B43" s="52" t="s">
        <v>277</v>
      </c>
      <c r="C43" s="53"/>
      <c r="D43" s="53"/>
      <c r="E43" s="53"/>
      <c r="F43" s="53"/>
      <c r="G43" s="53"/>
      <c r="H43" s="53"/>
      <c r="I43" s="53"/>
    </row>
    <row r="44" spans="1:9" s="246" customFormat="1" ht="12" customHeight="1">
      <c r="A44" s="245" t="s">
        <v>169</v>
      </c>
      <c r="B44" s="52" t="s">
        <v>278</v>
      </c>
      <c r="C44" s="53"/>
      <c r="D44" s="53"/>
      <c r="E44" s="53"/>
      <c r="F44" s="53"/>
      <c r="G44" s="53"/>
      <c r="H44" s="53"/>
      <c r="I44" s="53"/>
    </row>
    <row r="45" spans="1:9" s="246" customFormat="1" ht="12" customHeight="1">
      <c r="A45" s="245" t="s">
        <v>170</v>
      </c>
      <c r="B45" s="52" t="s">
        <v>279</v>
      </c>
      <c r="C45" s="53"/>
      <c r="D45" s="53"/>
      <c r="E45" s="53"/>
      <c r="F45" s="53"/>
      <c r="G45" s="53"/>
      <c r="H45" s="53"/>
      <c r="I45" s="53"/>
    </row>
    <row r="46" spans="1:9" s="246" customFormat="1" ht="12" customHeight="1">
      <c r="A46" s="245" t="s">
        <v>270</v>
      </c>
      <c r="B46" s="52" t="s">
        <v>280</v>
      </c>
      <c r="C46" s="63"/>
      <c r="D46" s="63"/>
      <c r="E46" s="63"/>
      <c r="F46" s="63"/>
      <c r="G46" s="63"/>
      <c r="H46" s="63"/>
      <c r="I46" s="63"/>
    </row>
    <row r="47" spans="1:9" s="246" customFormat="1" ht="12" customHeight="1">
      <c r="A47" s="247" t="s">
        <v>271</v>
      </c>
      <c r="B47" s="59" t="s">
        <v>432</v>
      </c>
      <c r="C47" s="64"/>
      <c r="D47" s="64"/>
      <c r="E47" s="64"/>
      <c r="F47" s="64"/>
      <c r="G47" s="64"/>
      <c r="H47" s="64"/>
      <c r="I47" s="64"/>
    </row>
    <row r="48" spans="1:9" s="246" customFormat="1" ht="12" customHeight="1" thickBot="1">
      <c r="A48" s="247" t="s">
        <v>431</v>
      </c>
      <c r="B48" s="59" t="s">
        <v>281</v>
      </c>
      <c r="C48" s="64"/>
      <c r="D48" s="64"/>
      <c r="E48" s="64"/>
      <c r="F48" s="64"/>
      <c r="G48" s="64"/>
      <c r="H48" s="64"/>
      <c r="I48" s="64"/>
    </row>
    <row r="49" spans="1:9" s="246" customFormat="1" ht="12" customHeight="1" thickBot="1">
      <c r="A49" s="81" t="s">
        <v>21</v>
      </c>
      <c r="B49" s="45" t="s">
        <v>282</v>
      </c>
      <c r="C49" s="46">
        <f t="shared" ref="C49:H49" si="6">SUM(C50:C54)</f>
        <v>0</v>
      </c>
      <c r="D49" s="46">
        <f t="shared" si="6"/>
        <v>0</v>
      </c>
      <c r="E49" s="46">
        <f t="shared" si="6"/>
        <v>0</v>
      </c>
      <c r="F49" s="46">
        <f t="shared" si="6"/>
        <v>0</v>
      </c>
      <c r="G49" s="46">
        <f t="shared" si="6"/>
        <v>0</v>
      </c>
      <c r="H49" s="46">
        <f t="shared" si="6"/>
        <v>0</v>
      </c>
      <c r="I49" s="46">
        <f>SUM(I50:I54)</f>
        <v>0</v>
      </c>
    </row>
    <row r="50" spans="1:9" s="246" customFormat="1" ht="12" customHeight="1">
      <c r="A50" s="243" t="s">
        <v>91</v>
      </c>
      <c r="B50" s="49" t="s">
        <v>286</v>
      </c>
      <c r="C50" s="65"/>
      <c r="D50" s="65"/>
      <c r="E50" s="65"/>
      <c r="F50" s="65"/>
      <c r="G50" s="65"/>
      <c r="H50" s="65"/>
      <c r="I50" s="65"/>
    </row>
    <row r="51" spans="1:9" s="246" customFormat="1" ht="12" customHeight="1">
      <c r="A51" s="245" t="s">
        <v>92</v>
      </c>
      <c r="B51" s="52" t="s">
        <v>287</v>
      </c>
      <c r="C51" s="63"/>
      <c r="D51" s="63"/>
      <c r="E51" s="63"/>
      <c r="F51" s="63"/>
      <c r="G51" s="63"/>
      <c r="H51" s="63"/>
      <c r="I51" s="63"/>
    </row>
    <row r="52" spans="1:9" s="246" customFormat="1" ht="12" customHeight="1">
      <c r="A52" s="245" t="s">
        <v>283</v>
      </c>
      <c r="B52" s="52" t="s">
        <v>288</v>
      </c>
      <c r="C52" s="63"/>
      <c r="D52" s="63"/>
      <c r="E52" s="63"/>
      <c r="F52" s="63"/>
      <c r="G52" s="63"/>
      <c r="H52" s="63"/>
      <c r="I52" s="63"/>
    </row>
    <row r="53" spans="1:9" s="246" customFormat="1" ht="12" customHeight="1">
      <c r="A53" s="245" t="s">
        <v>284</v>
      </c>
      <c r="B53" s="52" t="s">
        <v>289</v>
      </c>
      <c r="C53" s="63"/>
      <c r="D53" s="63"/>
      <c r="E53" s="63"/>
      <c r="F53" s="63"/>
      <c r="G53" s="63"/>
      <c r="H53" s="63"/>
      <c r="I53" s="63"/>
    </row>
    <row r="54" spans="1:9" s="246" customFormat="1" ht="12" customHeight="1" thickBot="1">
      <c r="A54" s="247" t="s">
        <v>285</v>
      </c>
      <c r="B54" s="59" t="s">
        <v>290</v>
      </c>
      <c r="C54" s="64"/>
      <c r="D54" s="64"/>
      <c r="E54" s="64"/>
      <c r="F54" s="64"/>
      <c r="G54" s="64"/>
      <c r="H54" s="64"/>
      <c r="I54" s="64"/>
    </row>
    <row r="55" spans="1:9" s="246" customFormat="1" ht="12" customHeight="1" thickBot="1">
      <c r="A55" s="81" t="s">
        <v>171</v>
      </c>
      <c r="B55" s="45" t="s">
        <v>291</v>
      </c>
      <c r="C55" s="46">
        <f t="shared" ref="C55:H55" si="7">SUM(C56:C58)</f>
        <v>0</v>
      </c>
      <c r="D55" s="46">
        <f t="shared" si="7"/>
        <v>0</v>
      </c>
      <c r="E55" s="46">
        <f t="shared" si="7"/>
        <v>0</v>
      </c>
      <c r="F55" s="46">
        <f t="shared" si="7"/>
        <v>0</v>
      </c>
      <c r="G55" s="46">
        <f t="shared" si="7"/>
        <v>0</v>
      </c>
      <c r="H55" s="46">
        <f t="shared" si="7"/>
        <v>0</v>
      </c>
      <c r="I55" s="46">
        <f>SUM(I56:I58)</f>
        <v>0</v>
      </c>
    </row>
    <row r="56" spans="1:9" s="246" customFormat="1" ht="12" customHeight="1">
      <c r="A56" s="243" t="s">
        <v>93</v>
      </c>
      <c r="B56" s="49" t="s">
        <v>292</v>
      </c>
      <c r="C56" s="50"/>
      <c r="D56" s="50"/>
      <c r="E56" s="50"/>
      <c r="F56" s="50"/>
      <c r="G56" s="50"/>
      <c r="H56" s="50"/>
      <c r="I56" s="50"/>
    </row>
    <row r="57" spans="1:9" s="246" customFormat="1" ht="12" customHeight="1">
      <c r="A57" s="245" t="s">
        <v>94</v>
      </c>
      <c r="B57" s="52" t="s">
        <v>422</v>
      </c>
      <c r="C57" s="53"/>
      <c r="D57" s="53"/>
      <c r="E57" s="53"/>
      <c r="F57" s="53"/>
      <c r="G57" s="53"/>
      <c r="H57" s="53"/>
      <c r="I57" s="53"/>
    </row>
    <row r="58" spans="1:9" s="246" customFormat="1" ht="12" customHeight="1">
      <c r="A58" s="245" t="s">
        <v>295</v>
      </c>
      <c r="B58" s="52" t="s">
        <v>293</v>
      </c>
      <c r="C58" s="53"/>
      <c r="D58" s="53"/>
      <c r="E58" s="53"/>
      <c r="F58" s="53"/>
      <c r="G58" s="53"/>
      <c r="H58" s="53"/>
      <c r="I58" s="53"/>
    </row>
    <row r="59" spans="1:9" s="246" customFormat="1" ht="12" customHeight="1" thickBot="1">
      <c r="A59" s="247" t="s">
        <v>296</v>
      </c>
      <c r="B59" s="59" t="s">
        <v>294</v>
      </c>
      <c r="C59" s="58"/>
      <c r="D59" s="58"/>
      <c r="E59" s="58"/>
      <c r="F59" s="58"/>
      <c r="G59" s="58"/>
      <c r="H59" s="58"/>
      <c r="I59" s="58"/>
    </row>
    <row r="60" spans="1:9" s="246" customFormat="1" ht="12" customHeight="1" thickBot="1">
      <c r="A60" s="81" t="s">
        <v>23</v>
      </c>
      <c r="B60" s="57" t="s">
        <v>297</v>
      </c>
      <c r="C60" s="46">
        <f t="shared" ref="C60:H60" si="8">SUM(C61:C63)</f>
        <v>0</v>
      </c>
      <c r="D60" s="46">
        <f t="shared" si="8"/>
        <v>0</v>
      </c>
      <c r="E60" s="46">
        <f t="shared" si="8"/>
        <v>0</v>
      </c>
      <c r="F60" s="46">
        <f t="shared" si="8"/>
        <v>0</v>
      </c>
      <c r="G60" s="46">
        <f t="shared" si="8"/>
        <v>0</v>
      </c>
      <c r="H60" s="46">
        <f t="shared" si="8"/>
        <v>0</v>
      </c>
      <c r="I60" s="46">
        <f>SUM(I61:I63)</f>
        <v>0</v>
      </c>
    </row>
    <row r="61" spans="1:9" s="246" customFormat="1" ht="12" customHeight="1">
      <c r="A61" s="243" t="s">
        <v>172</v>
      </c>
      <c r="B61" s="49" t="s">
        <v>299</v>
      </c>
      <c r="C61" s="63"/>
      <c r="D61" s="63"/>
      <c r="E61" s="63"/>
      <c r="F61" s="63"/>
      <c r="G61" s="63"/>
      <c r="H61" s="63"/>
      <c r="I61" s="63"/>
    </row>
    <row r="62" spans="1:9" s="246" customFormat="1" ht="12" customHeight="1">
      <c r="A62" s="245" t="s">
        <v>173</v>
      </c>
      <c r="B62" s="52" t="s">
        <v>423</v>
      </c>
      <c r="C62" s="63"/>
      <c r="D62" s="63"/>
      <c r="E62" s="63"/>
      <c r="F62" s="63"/>
      <c r="G62" s="63"/>
      <c r="H62" s="63"/>
      <c r="I62" s="63"/>
    </row>
    <row r="63" spans="1:9" s="246" customFormat="1" ht="12" customHeight="1">
      <c r="A63" s="245" t="s">
        <v>221</v>
      </c>
      <c r="B63" s="52" t="s">
        <v>300</v>
      </c>
      <c r="C63" s="63"/>
      <c r="D63" s="63"/>
      <c r="E63" s="63"/>
      <c r="F63" s="63"/>
      <c r="G63" s="63"/>
      <c r="H63" s="63"/>
      <c r="I63" s="63"/>
    </row>
    <row r="64" spans="1:9" s="246" customFormat="1" ht="12" customHeight="1" thickBot="1">
      <c r="A64" s="247" t="s">
        <v>298</v>
      </c>
      <c r="B64" s="59" t="s">
        <v>301</v>
      </c>
      <c r="C64" s="63"/>
      <c r="D64" s="63"/>
      <c r="E64" s="63"/>
      <c r="F64" s="63"/>
      <c r="G64" s="63"/>
      <c r="H64" s="63"/>
      <c r="I64" s="63"/>
    </row>
    <row r="65" spans="1:9" s="246" customFormat="1" ht="12" customHeight="1" thickBot="1">
      <c r="A65" s="81" t="s">
        <v>24</v>
      </c>
      <c r="B65" s="45" t="s">
        <v>302</v>
      </c>
      <c r="C65" s="60">
        <f t="shared" ref="C65:H65" si="9">+C8+C15+C22+C29+C37+C49+C55+C60</f>
        <v>0</v>
      </c>
      <c r="D65" s="60">
        <f t="shared" si="9"/>
        <v>0</v>
      </c>
      <c r="E65" s="60">
        <f t="shared" si="9"/>
        <v>0</v>
      </c>
      <c r="F65" s="60">
        <f t="shared" si="9"/>
        <v>0</v>
      </c>
      <c r="G65" s="60">
        <f t="shared" si="9"/>
        <v>0</v>
      </c>
      <c r="H65" s="60">
        <f t="shared" si="9"/>
        <v>0</v>
      </c>
      <c r="I65" s="60">
        <f>+I8+I15+I22+I29+I37+I49+I55+I60</f>
        <v>0</v>
      </c>
    </row>
    <row r="66" spans="1:9" s="246" customFormat="1" ht="12" customHeight="1" thickBot="1">
      <c r="A66" s="248" t="s">
        <v>392</v>
      </c>
      <c r="B66" s="57" t="s">
        <v>304</v>
      </c>
      <c r="C66" s="46">
        <f t="shared" ref="C66:H66" si="10">SUM(C67:C69)</f>
        <v>0</v>
      </c>
      <c r="D66" s="46">
        <f t="shared" si="10"/>
        <v>0</v>
      </c>
      <c r="E66" s="46">
        <f t="shared" si="10"/>
        <v>0</v>
      </c>
      <c r="F66" s="46">
        <f t="shared" si="10"/>
        <v>0</v>
      </c>
      <c r="G66" s="46">
        <f t="shared" si="10"/>
        <v>0</v>
      </c>
      <c r="H66" s="46">
        <f t="shared" si="10"/>
        <v>0</v>
      </c>
      <c r="I66" s="46">
        <f>SUM(I67:I69)</f>
        <v>0</v>
      </c>
    </row>
    <row r="67" spans="1:9" s="246" customFormat="1" ht="12" customHeight="1">
      <c r="A67" s="243" t="s">
        <v>335</v>
      </c>
      <c r="B67" s="49" t="s">
        <v>305</v>
      </c>
      <c r="C67" s="63"/>
      <c r="D67" s="63"/>
      <c r="E67" s="63"/>
      <c r="F67" s="63"/>
      <c r="G67" s="63"/>
      <c r="H67" s="63"/>
      <c r="I67" s="63"/>
    </row>
    <row r="68" spans="1:9" s="246" customFormat="1" ht="12" customHeight="1">
      <c r="A68" s="245" t="s">
        <v>344</v>
      </c>
      <c r="B68" s="52" t="s">
        <v>306</v>
      </c>
      <c r="C68" s="63"/>
      <c r="D68" s="63"/>
      <c r="E68" s="63"/>
      <c r="F68" s="63"/>
      <c r="G68" s="63"/>
      <c r="H68" s="63"/>
      <c r="I68" s="63"/>
    </row>
    <row r="69" spans="1:9" s="246" customFormat="1" ht="12" customHeight="1" thickBot="1">
      <c r="A69" s="247" t="s">
        <v>345</v>
      </c>
      <c r="B69" s="249" t="s">
        <v>307</v>
      </c>
      <c r="C69" s="63"/>
      <c r="D69" s="63"/>
      <c r="E69" s="63"/>
      <c r="F69" s="63"/>
      <c r="G69" s="63"/>
      <c r="H69" s="63"/>
      <c r="I69" s="63"/>
    </row>
    <row r="70" spans="1:9" s="246" customFormat="1" ht="12" customHeight="1" thickBot="1">
      <c r="A70" s="248" t="s">
        <v>308</v>
      </c>
      <c r="B70" s="57" t="s">
        <v>309</v>
      </c>
      <c r="C70" s="46">
        <f t="shared" ref="C70:H70" si="11">SUM(C71:C74)</f>
        <v>0</v>
      </c>
      <c r="D70" s="46">
        <f t="shared" si="11"/>
        <v>0</v>
      </c>
      <c r="E70" s="46">
        <f t="shared" si="11"/>
        <v>0</v>
      </c>
      <c r="F70" s="46">
        <f t="shared" si="11"/>
        <v>0</v>
      </c>
      <c r="G70" s="46">
        <f t="shared" si="11"/>
        <v>0</v>
      </c>
      <c r="H70" s="46">
        <f t="shared" si="11"/>
        <v>0</v>
      </c>
      <c r="I70" s="46">
        <f>SUM(I71:I74)</f>
        <v>0</v>
      </c>
    </row>
    <row r="71" spans="1:9" s="246" customFormat="1" ht="12" customHeight="1">
      <c r="A71" s="243" t="s">
        <v>142</v>
      </c>
      <c r="B71" s="49" t="s">
        <v>310</v>
      </c>
      <c r="C71" s="63"/>
      <c r="D71" s="63"/>
      <c r="E71" s="63"/>
      <c r="F71" s="63"/>
      <c r="G71" s="63"/>
      <c r="H71" s="63"/>
      <c r="I71" s="63"/>
    </row>
    <row r="72" spans="1:9" s="246" customFormat="1" ht="12" customHeight="1">
      <c r="A72" s="245" t="s">
        <v>143</v>
      </c>
      <c r="B72" s="52" t="s">
        <v>311</v>
      </c>
      <c r="C72" s="63"/>
      <c r="D72" s="63"/>
      <c r="E72" s="63"/>
      <c r="F72" s="63"/>
      <c r="G72" s="63"/>
      <c r="H72" s="63"/>
      <c r="I72" s="63"/>
    </row>
    <row r="73" spans="1:9" s="246" customFormat="1" ht="12" customHeight="1">
      <c r="A73" s="245" t="s">
        <v>336</v>
      </c>
      <c r="B73" s="52" t="s">
        <v>312</v>
      </c>
      <c r="C73" s="63"/>
      <c r="D73" s="63"/>
      <c r="E73" s="63"/>
      <c r="F73" s="63"/>
      <c r="G73" s="63"/>
      <c r="H73" s="63"/>
      <c r="I73" s="63"/>
    </row>
    <row r="74" spans="1:9" s="246" customFormat="1" ht="12" customHeight="1" thickBot="1">
      <c r="A74" s="247" t="s">
        <v>337</v>
      </c>
      <c r="B74" s="59" t="s">
        <v>313</v>
      </c>
      <c r="C74" s="63"/>
      <c r="D74" s="63"/>
      <c r="E74" s="63"/>
      <c r="F74" s="63"/>
      <c r="G74" s="63"/>
      <c r="H74" s="63"/>
      <c r="I74" s="63"/>
    </row>
    <row r="75" spans="1:9" s="246" customFormat="1" ht="12" customHeight="1" thickBot="1">
      <c r="A75" s="248" t="s">
        <v>314</v>
      </c>
      <c r="B75" s="57" t="s">
        <v>315</v>
      </c>
      <c r="C75" s="46">
        <f t="shared" ref="C75:H75" si="12">SUM(C76:C77)</f>
        <v>0</v>
      </c>
      <c r="D75" s="46">
        <f t="shared" si="12"/>
        <v>0</v>
      </c>
      <c r="E75" s="46">
        <f t="shared" si="12"/>
        <v>0</v>
      </c>
      <c r="F75" s="46">
        <f t="shared" si="12"/>
        <v>0</v>
      </c>
      <c r="G75" s="46">
        <f t="shared" si="12"/>
        <v>0</v>
      </c>
      <c r="H75" s="46">
        <f t="shared" si="12"/>
        <v>0</v>
      </c>
      <c r="I75" s="46">
        <f>SUM(I76:I77)</f>
        <v>0</v>
      </c>
    </row>
    <row r="76" spans="1:9" s="246" customFormat="1" ht="12" customHeight="1">
      <c r="A76" s="243" t="s">
        <v>338</v>
      </c>
      <c r="B76" s="49" t="s">
        <v>316</v>
      </c>
      <c r="C76" s="63"/>
      <c r="D76" s="63"/>
      <c r="E76" s="63"/>
      <c r="F76" s="63"/>
      <c r="G76" s="63"/>
      <c r="H76" s="63"/>
      <c r="I76" s="63"/>
    </row>
    <row r="77" spans="1:9" s="246" customFormat="1" ht="12" customHeight="1" thickBot="1">
      <c r="A77" s="247" t="s">
        <v>339</v>
      </c>
      <c r="B77" s="59" t="s">
        <v>317</v>
      </c>
      <c r="C77" s="63"/>
      <c r="D77" s="63"/>
      <c r="E77" s="63"/>
      <c r="F77" s="63"/>
      <c r="G77" s="63"/>
      <c r="H77" s="63"/>
      <c r="I77" s="63"/>
    </row>
    <row r="78" spans="1:9" s="244" customFormat="1" ht="12" customHeight="1" thickBot="1">
      <c r="A78" s="248" t="s">
        <v>318</v>
      </c>
      <c r="B78" s="57" t="s">
        <v>319</v>
      </c>
      <c r="C78" s="46">
        <f t="shared" ref="C78:H78" si="13">SUM(C79:C81)</f>
        <v>0</v>
      </c>
      <c r="D78" s="46">
        <f t="shared" si="13"/>
        <v>0</v>
      </c>
      <c r="E78" s="46">
        <f t="shared" si="13"/>
        <v>0</v>
      </c>
      <c r="F78" s="46">
        <f t="shared" si="13"/>
        <v>0</v>
      </c>
      <c r="G78" s="46">
        <f t="shared" si="13"/>
        <v>0</v>
      </c>
      <c r="H78" s="46">
        <f t="shared" si="13"/>
        <v>0</v>
      </c>
      <c r="I78" s="46">
        <f>SUM(I79:I81)</f>
        <v>0</v>
      </c>
    </row>
    <row r="79" spans="1:9" s="246" customFormat="1" ht="12" customHeight="1">
      <c r="A79" s="243" t="s">
        <v>340</v>
      </c>
      <c r="B79" s="49" t="s">
        <v>320</v>
      </c>
      <c r="C79" s="63"/>
      <c r="D79" s="63"/>
      <c r="E79" s="63"/>
      <c r="F79" s="63"/>
      <c r="G79" s="63"/>
      <c r="H79" s="63"/>
      <c r="I79" s="63"/>
    </row>
    <row r="80" spans="1:9" s="246" customFormat="1" ht="12" customHeight="1">
      <c r="A80" s="245" t="s">
        <v>341</v>
      </c>
      <c r="B80" s="52" t="s">
        <v>321</v>
      </c>
      <c r="C80" s="63"/>
      <c r="D80" s="63"/>
      <c r="E80" s="63"/>
      <c r="F80" s="63"/>
      <c r="G80" s="63"/>
      <c r="H80" s="63"/>
      <c r="I80" s="63"/>
    </row>
    <row r="81" spans="1:9" s="246" customFormat="1" ht="12" customHeight="1" thickBot="1">
      <c r="A81" s="247" t="s">
        <v>342</v>
      </c>
      <c r="B81" s="59" t="s">
        <v>322</v>
      </c>
      <c r="C81" s="63"/>
      <c r="D81" s="63"/>
      <c r="E81" s="63"/>
      <c r="F81" s="63"/>
      <c r="G81" s="63"/>
      <c r="H81" s="63"/>
      <c r="I81" s="63"/>
    </row>
    <row r="82" spans="1:9" s="246" customFormat="1" ht="12" customHeight="1" thickBot="1">
      <c r="A82" s="248" t="s">
        <v>323</v>
      </c>
      <c r="B82" s="57" t="s">
        <v>343</v>
      </c>
      <c r="C82" s="46">
        <f t="shared" ref="C82:H82" si="14">SUM(C83:C86)</f>
        <v>0</v>
      </c>
      <c r="D82" s="46">
        <f t="shared" si="14"/>
        <v>0</v>
      </c>
      <c r="E82" s="46">
        <f t="shared" si="14"/>
        <v>0</v>
      </c>
      <c r="F82" s="46">
        <f t="shared" si="14"/>
        <v>0</v>
      </c>
      <c r="G82" s="46">
        <f t="shared" si="14"/>
        <v>0</v>
      </c>
      <c r="H82" s="46">
        <f t="shared" si="14"/>
        <v>0</v>
      </c>
      <c r="I82" s="46">
        <f>SUM(I83:I86)</f>
        <v>0</v>
      </c>
    </row>
    <row r="83" spans="1:9" s="246" customFormat="1" ht="12" customHeight="1">
      <c r="A83" s="250" t="s">
        <v>324</v>
      </c>
      <c r="B83" s="49" t="s">
        <v>325</v>
      </c>
      <c r="C83" s="63"/>
      <c r="D83" s="63"/>
      <c r="E83" s="63"/>
      <c r="F83" s="63"/>
      <c r="G83" s="63"/>
      <c r="H83" s="63"/>
      <c r="I83" s="63"/>
    </row>
    <row r="84" spans="1:9" s="246" customFormat="1" ht="12" customHeight="1">
      <c r="A84" s="251" t="s">
        <v>326</v>
      </c>
      <c r="B84" s="52" t="s">
        <v>327</v>
      </c>
      <c r="C84" s="63"/>
      <c r="D84" s="63"/>
      <c r="E84" s="63"/>
      <c r="F84" s="63"/>
      <c r="G84" s="63"/>
      <c r="H84" s="63"/>
      <c r="I84" s="63"/>
    </row>
    <row r="85" spans="1:9" s="246" customFormat="1" ht="12" customHeight="1">
      <c r="A85" s="251" t="s">
        <v>328</v>
      </c>
      <c r="B85" s="52" t="s">
        <v>329</v>
      </c>
      <c r="C85" s="63"/>
      <c r="D85" s="63"/>
      <c r="E85" s="63"/>
      <c r="F85" s="63"/>
      <c r="G85" s="63"/>
      <c r="H85" s="63"/>
      <c r="I85" s="63"/>
    </row>
    <row r="86" spans="1:9" s="244" customFormat="1" ht="12" customHeight="1" thickBot="1">
      <c r="A86" s="252" t="s">
        <v>330</v>
      </c>
      <c r="B86" s="59" t="s">
        <v>331</v>
      </c>
      <c r="C86" s="63"/>
      <c r="D86" s="63"/>
      <c r="E86" s="63"/>
      <c r="F86" s="63"/>
      <c r="G86" s="63"/>
      <c r="H86" s="63"/>
      <c r="I86" s="63"/>
    </row>
    <row r="87" spans="1:9" s="244" customFormat="1" ht="12" customHeight="1" thickBot="1">
      <c r="A87" s="248" t="s">
        <v>332</v>
      </c>
      <c r="B87" s="57" t="s">
        <v>473</v>
      </c>
      <c r="C87" s="72"/>
      <c r="D87" s="72"/>
      <c r="E87" s="72"/>
      <c r="F87" s="72"/>
      <c r="G87" s="72"/>
      <c r="H87" s="72"/>
      <c r="I87" s="72"/>
    </row>
    <row r="88" spans="1:9" s="244" customFormat="1" ht="12" customHeight="1" thickBot="1">
      <c r="A88" s="248" t="s">
        <v>501</v>
      </c>
      <c r="B88" s="57" t="s">
        <v>333</v>
      </c>
      <c r="C88" s="72"/>
      <c r="D88" s="72"/>
      <c r="E88" s="72"/>
      <c r="F88" s="72"/>
      <c r="G88" s="72"/>
      <c r="H88" s="72"/>
      <c r="I88" s="72"/>
    </row>
    <row r="89" spans="1:9" s="244" customFormat="1" ht="12" customHeight="1" thickBot="1">
      <c r="A89" s="248" t="s">
        <v>502</v>
      </c>
      <c r="B89" s="73" t="s">
        <v>476</v>
      </c>
      <c r="C89" s="60">
        <f t="shared" ref="C89:H89" si="15">+C66+C70+C75+C78+C82+C88+C87</f>
        <v>0</v>
      </c>
      <c r="D89" s="60">
        <f t="shared" si="15"/>
        <v>0</v>
      </c>
      <c r="E89" s="60">
        <f t="shared" si="15"/>
        <v>0</v>
      </c>
      <c r="F89" s="60">
        <f t="shared" si="15"/>
        <v>0</v>
      </c>
      <c r="G89" s="60">
        <f t="shared" si="15"/>
        <v>0</v>
      </c>
      <c r="H89" s="60">
        <f t="shared" si="15"/>
        <v>0</v>
      </c>
      <c r="I89" s="60">
        <f>+I66+I70+I75+I78+I82+I88+I87</f>
        <v>0</v>
      </c>
    </row>
    <row r="90" spans="1:9" s="244" customFormat="1" ht="12" customHeight="1" thickBot="1">
      <c r="A90" s="253" t="s">
        <v>503</v>
      </c>
      <c r="B90" s="75" t="s">
        <v>504</v>
      </c>
      <c r="C90" s="60">
        <f t="shared" ref="C90:H90" si="16">+C65+C89</f>
        <v>0</v>
      </c>
      <c r="D90" s="60">
        <f t="shared" si="16"/>
        <v>0</v>
      </c>
      <c r="E90" s="60">
        <f t="shared" si="16"/>
        <v>0</v>
      </c>
      <c r="F90" s="60">
        <f t="shared" si="16"/>
        <v>0</v>
      </c>
      <c r="G90" s="60">
        <f t="shared" si="16"/>
        <v>0</v>
      </c>
      <c r="H90" s="60">
        <f t="shared" si="16"/>
        <v>0</v>
      </c>
      <c r="I90" s="60">
        <f>+I65+I89</f>
        <v>0</v>
      </c>
    </row>
    <row r="91" spans="1:9" s="246" customFormat="1" ht="15" customHeight="1" thickBot="1">
      <c r="A91" s="25"/>
      <c r="B91" s="26"/>
      <c r="C91" s="27"/>
      <c r="D91" s="27"/>
      <c r="E91" s="27"/>
      <c r="F91" s="27"/>
      <c r="G91" s="27"/>
      <c r="H91" s="27"/>
      <c r="I91" s="27"/>
    </row>
    <row r="92" spans="1:9" s="122" customFormat="1" ht="26.25" thickBot="1">
      <c r="A92" s="28"/>
      <c r="B92" s="29" t="s">
        <v>54</v>
      </c>
      <c r="C92" s="120" t="s">
        <v>687</v>
      </c>
      <c r="D92" s="270" t="s">
        <v>738</v>
      </c>
      <c r="E92" s="270" t="s">
        <v>743</v>
      </c>
      <c r="F92" s="270" t="s">
        <v>758</v>
      </c>
      <c r="G92" s="270" t="s">
        <v>760</v>
      </c>
      <c r="H92" s="270" t="s">
        <v>773</v>
      </c>
      <c r="I92" s="270" t="s">
        <v>773</v>
      </c>
    </row>
    <row r="93" spans="1:9" s="254" customFormat="1" ht="12" customHeight="1" thickBot="1">
      <c r="A93" s="40" t="s">
        <v>16</v>
      </c>
      <c r="B93" s="85" t="s">
        <v>659</v>
      </c>
      <c r="C93" s="86">
        <f t="shared" ref="C93:H93" si="17">+C94+C95+C96+C97+C98+C111</f>
        <v>0</v>
      </c>
      <c r="D93" s="86">
        <f t="shared" si="17"/>
        <v>0</v>
      </c>
      <c r="E93" s="86">
        <f t="shared" si="17"/>
        <v>0</v>
      </c>
      <c r="F93" s="86">
        <f t="shared" si="17"/>
        <v>0</v>
      </c>
      <c r="G93" s="86">
        <f t="shared" si="17"/>
        <v>0</v>
      </c>
      <c r="H93" s="86">
        <f t="shared" si="17"/>
        <v>0</v>
      </c>
      <c r="I93" s="86">
        <f>+I94+I95+I96+I97+I98+I111</f>
        <v>0</v>
      </c>
    </row>
    <row r="94" spans="1:9" ht="12" customHeight="1">
      <c r="A94" s="255" t="s">
        <v>95</v>
      </c>
      <c r="B94" s="17" t="s">
        <v>46</v>
      </c>
      <c r="C94" s="88"/>
      <c r="D94" s="88"/>
      <c r="E94" s="88"/>
      <c r="F94" s="88"/>
      <c r="G94" s="88"/>
      <c r="H94" s="88"/>
      <c r="I94" s="88"/>
    </row>
    <row r="95" spans="1:9" ht="12" customHeight="1">
      <c r="A95" s="245" t="s">
        <v>96</v>
      </c>
      <c r="B95" s="18" t="s">
        <v>174</v>
      </c>
      <c r="C95" s="53"/>
      <c r="D95" s="53"/>
      <c r="E95" s="53"/>
      <c r="F95" s="53"/>
      <c r="G95" s="53"/>
      <c r="H95" s="53"/>
      <c r="I95" s="53"/>
    </row>
    <row r="96" spans="1:9" ht="12" customHeight="1">
      <c r="A96" s="245" t="s">
        <v>97</v>
      </c>
      <c r="B96" s="18" t="s">
        <v>133</v>
      </c>
      <c r="C96" s="58"/>
      <c r="D96" s="58"/>
      <c r="E96" s="58"/>
      <c r="F96" s="58"/>
      <c r="G96" s="58"/>
      <c r="H96" s="58"/>
      <c r="I96" s="58"/>
    </row>
    <row r="97" spans="1:9" ht="12" customHeight="1">
      <c r="A97" s="245" t="s">
        <v>98</v>
      </c>
      <c r="B97" s="89" t="s">
        <v>175</v>
      </c>
      <c r="C97" s="58"/>
      <c r="D97" s="58"/>
      <c r="E97" s="58"/>
      <c r="F97" s="58"/>
      <c r="G97" s="58"/>
      <c r="H97" s="58"/>
      <c r="I97" s="58"/>
    </row>
    <row r="98" spans="1:9" ht="12" customHeight="1">
      <c r="A98" s="245" t="s">
        <v>109</v>
      </c>
      <c r="B98" s="90" t="s">
        <v>176</v>
      </c>
      <c r="C98" s="58"/>
      <c r="D98" s="58"/>
      <c r="E98" s="58"/>
      <c r="F98" s="58"/>
      <c r="G98" s="58"/>
      <c r="H98" s="58"/>
      <c r="I98" s="58"/>
    </row>
    <row r="99" spans="1:9" ht="12" customHeight="1">
      <c r="A99" s="245" t="s">
        <v>99</v>
      </c>
      <c r="B99" s="18" t="s">
        <v>505</v>
      </c>
      <c r="C99" s="58"/>
      <c r="D99" s="58"/>
      <c r="E99" s="58"/>
      <c r="F99" s="58"/>
      <c r="G99" s="58"/>
      <c r="H99" s="58"/>
      <c r="I99" s="58"/>
    </row>
    <row r="100" spans="1:9" ht="12" customHeight="1">
      <c r="A100" s="245" t="s">
        <v>100</v>
      </c>
      <c r="B100" s="92" t="s">
        <v>439</v>
      </c>
      <c r="C100" s="58"/>
      <c r="D100" s="58"/>
      <c r="E100" s="58"/>
      <c r="F100" s="58"/>
      <c r="G100" s="58"/>
      <c r="H100" s="58"/>
      <c r="I100" s="58"/>
    </row>
    <row r="101" spans="1:9" ht="12" customHeight="1">
      <c r="A101" s="245" t="s">
        <v>110</v>
      </c>
      <c r="B101" s="92" t="s">
        <v>438</v>
      </c>
      <c r="C101" s="58"/>
      <c r="D101" s="58"/>
      <c r="E101" s="58"/>
      <c r="F101" s="58"/>
      <c r="G101" s="58"/>
      <c r="H101" s="58"/>
      <c r="I101" s="58"/>
    </row>
    <row r="102" spans="1:9" ht="12" customHeight="1">
      <c r="A102" s="245" t="s">
        <v>111</v>
      </c>
      <c r="B102" s="92" t="s">
        <v>349</v>
      </c>
      <c r="C102" s="58"/>
      <c r="D102" s="58"/>
      <c r="E102" s="58"/>
      <c r="F102" s="58"/>
      <c r="G102" s="58"/>
      <c r="H102" s="58"/>
      <c r="I102" s="58"/>
    </row>
    <row r="103" spans="1:9" ht="12" customHeight="1">
      <c r="A103" s="245" t="s">
        <v>112</v>
      </c>
      <c r="B103" s="93" t="s">
        <v>350</v>
      </c>
      <c r="C103" s="58"/>
      <c r="D103" s="58"/>
      <c r="E103" s="58"/>
      <c r="F103" s="58"/>
      <c r="G103" s="58"/>
      <c r="H103" s="58"/>
      <c r="I103" s="58"/>
    </row>
    <row r="104" spans="1:9" ht="12" customHeight="1">
      <c r="A104" s="245" t="s">
        <v>113</v>
      </c>
      <c r="B104" s="93" t="s">
        <v>351</v>
      </c>
      <c r="C104" s="58"/>
      <c r="D104" s="58"/>
      <c r="E104" s="58"/>
      <c r="F104" s="58"/>
      <c r="G104" s="58"/>
      <c r="H104" s="58"/>
      <c r="I104" s="58"/>
    </row>
    <row r="105" spans="1:9" ht="12" customHeight="1">
      <c r="A105" s="245" t="s">
        <v>115</v>
      </c>
      <c r="B105" s="92" t="s">
        <v>352</v>
      </c>
      <c r="C105" s="58"/>
      <c r="D105" s="58"/>
      <c r="E105" s="58"/>
      <c r="F105" s="58"/>
      <c r="G105" s="58"/>
      <c r="H105" s="58"/>
      <c r="I105" s="58"/>
    </row>
    <row r="106" spans="1:9" ht="12" customHeight="1">
      <c r="A106" s="245" t="s">
        <v>177</v>
      </c>
      <c r="B106" s="92" t="s">
        <v>353</v>
      </c>
      <c r="C106" s="58"/>
      <c r="D106" s="58"/>
      <c r="E106" s="58"/>
      <c r="F106" s="58"/>
      <c r="G106" s="58"/>
      <c r="H106" s="58"/>
      <c r="I106" s="58"/>
    </row>
    <row r="107" spans="1:9" ht="12" customHeight="1">
      <c r="A107" s="245" t="s">
        <v>347</v>
      </c>
      <c r="B107" s="93" t="s">
        <v>354</v>
      </c>
      <c r="C107" s="58"/>
      <c r="D107" s="58"/>
      <c r="E107" s="58"/>
      <c r="F107" s="58"/>
      <c r="G107" s="58"/>
      <c r="H107" s="58"/>
      <c r="I107" s="58"/>
    </row>
    <row r="108" spans="1:9" ht="12" customHeight="1">
      <c r="A108" s="256" t="s">
        <v>348</v>
      </c>
      <c r="B108" s="91" t="s">
        <v>355</v>
      </c>
      <c r="C108" s="58"/>
      <c r="D108" s="58"/>
      <c r="E108" s="58"/>
      <c r="F108" s="58"/>
      <c r="G108" s="58"/>
      <c r="H108" s="58"/>
      <c r="I108" s="58"/>
    </row>
    <row r="109" spans="1:9" ht="12" customHeight="1">
      <c r="A109" s="245" t="s">
        <v>436</v>
      </c>
      <c r="B109" s="91" t="s">
        <v>356</v>
      </c>
      <c r="C109" s="58"/>
      <c r="D109" s="58"/>
      <c r="E109" s="58"/>
      <c r="F109" s="58"/>
      <c r="G109" s="58"/>
      <c r="H109" s="58"/>
      <c r="I109" s="58"/>
    </row>
    <row r="110" spans="1:9" ht="12" customHeight="1">
      <c r="A110" s="245" t="s">
        <v>437</v>
      </c>
      <c r="B110" s="93" t="s">
        <v>357</v>
      </c>
      <c r="C110" s="53"/>
      <c r="D110" s="53"/>
      <c r="E110" s="53"/>
      <c r="F110" s="53"/>
      <c r="G110" s="53"/>
      <c r="H110" s="53"/>
      <c r="I110" s="53"/>
    </row>
    <row r="111" spans="1:9" ht="12" customHeight="1">
      <c r="A111" s="245" t="s">
        <v>441</v>
      </c>
      <c r="B111" s="89" t="s">
        <v>47</v>
      </c>
      <c r="C111" s="53"/>
      <c r="D111" s="53"/>
      <c r="E111" s="53"/>
      <c r="F111" s="53"/>
      <c r="G111" s="53"/>
      <c r="H111" s="53"/>
      <c r="I111" s="53"/>
    </row>
    <row r="112" spans="1:9" ht="12" customHeight="1">
      <c r="A112" s="247" t="s">
        <v>442</v>
      </c>
      <c r="B112" s="18" t="s">
        <v>506</v>
      </c>
      <c r="C112" s="58"/>
      <c r="D112" s="58"/>
      <c r="E112" s="58"/>
      <c r="F112" s="58"/>
      <c r="G112" s="58"/>
      <c r="H112" s="58"/>
      <c r="I112" s="58"/>
    </row>
    <row r="113" spans="1:9" ht="12" customHeight="1" thickBot="1">
      <c r="A113" s="257" t="s">
        <v>443</v>
      </c>
      <c r="B113" s="258" t="s">
        <v>507</v>
      </c>
      <c r="C113" s="97"/>
      <c r="D113" s="97"/>
      <c r="E113" s="97"/>
      <c r="F113" s="97"/>
      <c r="G113" s="97"/>
      <c r="H113" s="97"/>
      <c r="I113" s="97"/>
    </row>
    <row r="114" spans="1:9" ht="12" customHeight="1" thickBot="1">
      <c r="A114" s="81" t="s">
        <v>17</v>
      </c>
      <c r="B114" s="112" t="s">
        <v>654</v>
      </c>
      <c r="C114" s="46">
        <f t="shared" ref="C114:H114" si="18">+C115+C117+C119</f>
        <v>0</v>
      </c>
      <c r="D114" s="46">
        <f t="shared" si="18"/>
        <v>0</v>
      </c>
      <c r="E114" s="46">
        <f t="shared" si="18"/>
        <v>0</v>
      </c>
      <c r="F114" s="46">
        <f t="shared" si="18"/>
        <v>0</v>
      </c>
      <c r="G114" s="46">
        <f t="shared" si="18"/>
        <v>0</v>
      </c>
      <c r="H114" s="46">
        <f t="shared" si="18"/>
        <v>0</v>
      </c>
      <c r="I114" s="46">
        <f>+I115+I117+I119</f>
        <v>0</v>
      </c>
    </row>
    <row r="115" spans="1:9" ht="12" customHeight="1">
      <c r="A115" s="243" t="s">
        <v>101</v>
      </c>
      <c r="B115" s="18" t="s">
        <v>219</v>
      </c>
      <c r="C115" s="50"/>
      <c r="D115" s="50"/>
      <c r="E115" s="50"/>
      <c r="F115" s="50"/>
      <c r="G115" s="50"/>
      <c r="H115" s="50"/>
      <c r="I115" s="50"/>
    </row>
    <row r="116" spans="1:9" ht="12" customHeight="1">
      <c r="A116" s="243" t="s">
        <v>102</v>
      </c>
      <c r="B116" s="101" t="s">
        <v>361</v>
      </c>
      <c r="C116" s="50"/>
      <c r="D116" s="50"/>
      <c r="E116" s="50"/>
      <c r="F116" s="50"/>
      <c r="G116" s="50"/>
      <c r="H116" s="50"/>
      <c r="I116" s="50"/>
    </row>
    <row r="117" spans="1:9" ht="12" customHeight="1">
      <c r="A117" s="243" t="s">
        <v>103</v>
      </c>
      <c r="B117" s="101" t="s">
        <v>178</v>
      </c>
      <c r="C117" s="53"/>
      <c r="D117" s="53"/>
      <c r="E117" s="53"/>
      <c r="F117" s="53"/>
      <c r="G117" s="53"/>
      <c r="H117" s="53"/>
      <c r="I117" s="53"/>
    </row>
    <row r="118" spans="1:9" ht="12" customHeight="1">
      <c r="A118" s="243" t="s">
        <v>104</v>
      </c>
      <c r="B118" s="101" t="s">
        <v>362</v>
      </c>
      <c r="C118" s="102"/>
      <c r="D118" s="102"/>
      <c r="E118" s="102"/>
      <c r="F118" s="102"/>
      <c r="G118" s="102"/>
      <c r="H118" s="102"/>
      <c r="I118" s="102"/>
    </row>
    <row r="119" spans="1:9" ht="12" customHeight="1">
      <c r="A119" s="243" t="s">
        <v>105</v>
      </c>
      <c r="B119" s="56" t="s">
        <v>222</v>
      </c>
      <c r="C119" s="102"/>
      <c r="D119" s="102"/>
      <c r="E119" s="102"/>
      <c r="F119" s="102"/>
      <c r="G119" s="102"/>
      <c r="H119" s="102"/>
      <c r="I119" s="102"/>
    </row>
    <row r="120" spans="1:9" ht="12" customHeight="1">
      <c r="A120" s="243" t="s">
        <v>114</v>
      </c>
      <c r="B120" s="54" t="s">
        <v>424</v>
      </c>
      <c r="C120" s="102"/>
      <c r="D120" s="102"/>
      <c r="E120" s="102"/>
      <c r="F120" s="102"/>
      <c r="G120" s="102"/>
      <c r="H120" s="102"/>
      <c r="I120" s="102"/>
    </row>
    <row r="121" spans="1:9" ht="12" customHeight="1">
      <c r="A121" s="243" t="s">
        <v>116</v>
      </c>
      <c r="B121" s="103" t="s">
        <v>367</v>
      </c>
      <c r="C121" s="102"/>
      <c r="D121" s="102"/>
      <c r="E121" s="102"/>
      <c r="F121" s="102"/>
      <c r="G121" s="102"/>
      <c r="H121" s="102"/>
      <c r="I121" s="102"/>
    </row>
    <row r="122" spans="1:9" ht="12" customHeight="1">
      <c r="A122" s="243" t="s">
        <v>179</v>
      </c>
      <c r="B122" s="93" t="s">
        <v>351</v>
      </c>
      <c r="C122" s="102"/>
      <c r="D122" s="102"/>
      <c r="E122" s="102"/>
      <c r="F122" s="102"/>
      <c r="G122" s="102"/>
      <c r="H122" s="102"/>
      <c r="I122" s="102"/>
    </row>
    <row r="123" spans="1:9" ht="12" customHeight="1">
      <c r="A123" s="243" t="s">
        <v>180</v>
      </c>
      <c r="B123" s="93" t="s">
        <v>366</v>
      </c>
      <c r="C123" s="102"/>
      <c r="D123" s="102"/>
      <c r="E123" s="102"/>
      <c r="F123" s="102"/>
      <c r="G123" s="102"/>
      <c r="H123" s="102"/>
      <c r="I123" s="102"/>
    </row>
    <row r="124" spans="1:9" ht="12" customHeight="1">
      <c r="A124" s="243" t="s">
        <v>181</v>
      </c>
      <c r="B124" s="93" t="s">
        <v>365</v>
      </c>
      <c r="C124" s="102"/>
      <c r="D124" s="102"/>
      <c r="E124" s="102"/>
      <c r="F124" s="102"/>
      <c r="G124" s="102"/>
      <c r="H124" s="102"/>
      <c r="I124" s="102"/>
    </row>
    <row r="125" spans="1:9" ht="12" customHeight="1">
      <c r="A125" s="243" t="s">
        <v>358</v>
      </c>
      <c r="B125" s="93" t="s">
        <v>354</v>
      </c>
      <c r="C125" s="102"/>
      <c r="D125" s="102"/>
      <c r="E125" s="102"/>
      <c r="F125" s="102"/>
      <c r="G125" s="102"/>
      <c r="H125" s="102"/>
      <c r="I125" s="102"/>
    </row>
    <row r="126" spans="1:9" ht="12" customHeight="1">
      <c r="A126" s="243" t="s">
        <v>359</v>
      </c>
      <c r="B126" s="93" t="s">
        <v>364</v>
      </c>
      <c r="C126" s="102"/>
      <c r="D126" s="102"/>
      <c r="E126" s="102"/>
      <c r="F126" s="102"/>
      <c r="G126" s="102"/>
      <c r="H126" s="102"/>
      <c r="I126" s="102"/>
    </row>
    <row r="127" spans="1:9" ht="12" customHeight="1" thickBot="1">
      <c r="A127" s="256" t="s">
        <v>360</v>
      </c>
      <c r="B127" s="93" t="s">
        <v>363</v>
      </c>
      <c r="C127" s="104"/>
      <c r="D127" s="104"/>
      <c r="E127" s="104"/>
      <c r="F127" s="104"/>
      <c r="G127" s="104"/>
      <c r="H127" s="104"/>
      <c r="I127" s="104"/>
    </row>
    <row r="128" spans="1:9" ht="12" customHeight="1" thickBot="1">
      <c r="A128" s="81" t="s">
        <v>18</v>
      </c>
      <c r="B128" s="21" t="s">
        <v>446</v>
      </c>
      <c r="C128" s="46">
        <f t="shared" ref="C128:H128" si="19">+C93+C114</f>
        <v>0</v>
      </c>
      <c r="D128" s="46">
        <f t="shared" si="19"/>
        <v>0</v>
      </c>
      <c r="E128" s="46">
        <f t="shared" si="19"/>
        <v>0</v>
      </c>
      <c r="F128" s="46">
        <f t="shared" si="19"/>
        <v>0</v>
      </c>
      <c r="G128" s="46">
        <f t="shared" si="19"/>
        <v>0</v>
      </c>
      <c r="H128" s="46">
        <f t="shared" si="19"/>
        <v>0</v>
      </c>
      <c r="I128" s="46">
        <f>+I93+I114</f>
        <v>0</v>
      </c>
    </row>
    <row r="129" spans="1:9" ht="12" customHeight="1" thickBot="1">
      <c r="A129" s="81" t="s">
        <v>19</v>
      </c>
      <c r="B129" s="21" t="s">
        <v>447</v>
      </c>
      <c r="C129" s="46">
        <f t="shared" ref="C129:H129" si="20">+C130+C131+C132</f>
        <v>0</v>
      </c>
      <c r="D129" s="46">
        <f t="shared" si="20"/>
        <v>0</v>
      </c>
      <c r="E129" s="46">
        <f t="shared" si="20"/>
        <v>0</v>
      </c>
      <c r="F129" s="46">
        <f t="shared" si="20"/>
        <v>0</v>
      </c>
      <c r="G129" s="46">
        <f t="shared" si="20"/>
        <v>0</v>
      </c>
      <c r="H129" s="46">
        <f t="shared" si="20"/>
        <v>0</v>
      </c>
      <c r="I129" s="46">
        <f>+I130+I131+I132</f>
        <v>0</v>
      </c>
    </row>
    <row r="130" spans="1:9" s="254" customFormat="1" ht="12" customHeight="1">
      <c r="A130" s="243" t="s">
        <v>259</v>
      </c>
      <c r="B130" s="20" t="s">
        <v>510</v>
      </c>
      <c r="C130" s="102"/>
      <c r="D130" s="102"/>
      <c r="E130" s="102"/>
      <c r="F130" s="102"/>
      <c r="G130" s="102"/>
      <c r="H130" s="102"/>
      <c r="I130" s="102"/>
    </row>
    <row r="131" spans="1:9" ht="12" customHeight="1">
      <c r="A131" s="243" t="s">
        <v>262</v>
      </c>
      <c r="B131" s="20" t="s">
        <v>455</v>
      </c>
      <c r="C131" s="102"/>
      <c r="D131" s="102"/>
      <c r="E131" s="102"/>
      <c r="F131" s="102"/>
      <c r="G131" s="102"/>
      <c r="H131" s="102"/>
      <c r="I131" s="102"/>
    </row>
    <row r="132" spans="1:9" ht="12" customHeight="1" thickBot="1">
      <c r="A132" s="256" t="s">
        <v>263</v>
      </c>
      <c r="B132" s="19" t="s">
        <v>509</v>
      </c>
      <c r="C132" s="102"/>
      <c r="D132" s="102"/>
      <c r="E132" s="102"/>
      <c r="F132" s="102"/>
      <c r="G132" s="102"/>
      <c r="H132" s="102"/>
      <c r="I132" s="102"/>
    </row>
    <row r="133" spans="1:9" ht="12" customHeight="1" thickBot="1">
      <c r="A133" s="81" t="s">
        <v>20</v>
      </c>
      <c r="B133" s="21" t="s">
        <v>448</v>
      </c>
      <c r="C133" s="46">
        <f t="shared" ref="C133:H133" si="21">+C134+C135+C136+C137+C138+C139</f>
        <v>0</v>
      </c>
      <c r="D133" s="46">
        <f t="shared" si="21"/>
        <v>0</v>
      </c>
      <c r="E133" s="46">
        <f t="shared" si="21"/>
        <v>0</v>
      </c>
      <c r="F133" s="46">
        <f t="shared" si="21"/>
        <v>0</v>
      </c>
      <c r="G133" s="46">
        <f t="shared" si="21"/>
        <v>0</v>
      </c>
      <c r="H133" s="46">
        <f t="shared" si="21"/>
        <v>0</v>
      </c>
      <c r="I133" s="46">
        <f>+I134+I135+I136+I137+I138+I139</f>
        <v>0</v>
      </c>
    </row>
    <row r="134" spans="1:9" ht="12" customHeight="1">
      <c r="A134" s="243" t="s">
        <v>88</v>
      </c>
      <c r="B134" s="20" t="s">
        <v>457</v>
      </c>
      <c r="C134" s="102"/>
      <c r="D134" s="102"/>
      <c r="E134" s="102"/>
      <c r="F134" s="102"/>
      <c r="G134" s="102"/>
      <c r="H134" s="102"/>
      <c r="I134" s="102"/>
    </row>
    <row r="135" spans="1:9" ht="12" customHeight="1">
      <c r="A135" s="243" t="s">
        <v>89</v>
      </c>
      <c r="B135" s="20" t="s">
        <v>449</v>
      </c>
      <c r="C135" s="102"/>
      <c r="D135" s="102"/>
      <c r="E135" s="102"/>
      <c r="F135" s="102"/>
      <c r="G135" s="102"/>
      <c r="H135" s="102"/>
      <c r="I135" s="102"/>
    </row>
    <row r="136" spans="1:9" ht="12" customHeight="1">
      <c r="A136" s="243" t="s">
        <v>90</v>
      </c>
      <c r="B136" s="20" t="s">
        <v>450</v>
      </c>
      <c r="C136" s="102"/>
      <c r="D136" s="102"/>
      <c r="E136" s="102"/>
      <c r="F136" s="102"/>
      <c r="G136" s="102"/>
      <c r="H136" s="102"/>
      <c r="I136" s="102"/>
    </row>
    <row r="137" spans="1:9" ht="12" customHeight="1">
      <c r="A137" s="243" t="s">
        <v>166</v>
      </c>
      <c r="B137" s="20" t="s">
        <v>508</v>
      </c>
      <c r="C137" s="102"/>
      <c r="D137" s="102"/>
      <c r="E137" s="102"/>
      <c r="F137" s="102"/>
      <c r="G137" s="102"/>
      <c r="H137" s="102"/>
      <c r="I137" s="102"/>
    </row>
    <row r="138" spans="1:9" ht="12" customHeight="1">
      <c r="A138" s="243" t="s">
        <v>167</v>
      </c>
      <c r="B138" s="20" t="s">
        <v>452</v>
      </c>
      <c r="C138" s="102"/>
      <c r="D138" s="102"/>
      <c r="E138" s="102"/>
      <c r="F138" s="102"/>
      <c r="G138" s="102"/>
      <c r="H138" s="102"/>
      <c r="I138" s="102"/>
    </row>
    <row r="139" spans="1:9" s="254" customFormat="1" ht="12" customHeight="1" thickBot="1">
      <c r="A139" s="256" t="s">
        <v>168</v>
      </c>
      <c r="B139" s="19" t="s">
        <v>453</v>
      </c>
      <c r="C139" s="102"/>
      <c r="D139" s="102"/>
      <c r="E139" s="102"/>
      <c r="F139" s="102"/>
      <c r="G139" s="102"/>
      <c r="H139" s="102"/>
      <c r="I139" s="102"/>
    </row>
    <row r="140" spans="1:9" ht="12" customHeight="1" thickBot="1">
      <c r="A140" s="81" t="s">
        <v>21</v>
      </c>
      <c r="B140" s="21" t="s">
        <v>534</v>
      </c>
      <c r="C140" s="60">
        <f t="shared" ref="C140:H140" si="22">+C141+C142+C144+C145+C143</f>
        <v>0</v>
      </c>
      <c r="D140" s="60">
        <f t="shared" si="22"/>
        <v>0</v>
      </c>
      <c r="E140" s="60">
        <f t="shared" si="22"/>
        <v>0</v>
      </c>
      <c r="F140" s="60">
        <f t="shared" si="22"/>
        <v>0</v>
      </c>
      <c r="G140" s="60">
        <f t="shared" si="22"/>
        <v>0</v>
      </c>
      <c r="H140" s="60">
        <f t="shared" si="22"/>
        <v>0</v>
      </c>
      <c r="I140" s="60">
        <f>+I141+I142+I144+I145+I143</f>
        <v>0</v>
      </c>
    </row>
    <row r="141" spans="1:9">
      <c r="A141" s="243" t="s">
        <v>91</v>
      </c>
      <c r="B141" s="20" t="s">
        <v>368</v>
      </c>
      <c r="C141" s="102"/>
      <c r="D141" s="102"/>
      <c r="E141" s="102"/>
      <c r="F141" s="102"/>
      <c r="G141" s="102"/>
      <c r="H141" s="102"/>
      <c r="I141" s="102"/>
    </row>
    <row r="142" spans="1:9" ht="12" customHeight="1">
      <c r="A142" s="243" t="s">
        <v>92</v>
      </c>
      <c r="B142" s="20" t="s">
        <v>369</v>
      </c>
      <c r="C142" s="102"/>
      <c r="D142" s="102"/>
      <c r="E142" s="102"/>
      <c r="F142" s="102"/>
      <c r="G142" s="102"/>
      <c r="H142" s="102"/>
      <c r="I142" s="102"/>
    </row>
    <row r="143" spans="1:9" s="254" customFormat="1" ht="12" customHeight="1">
      <c r="A143" s="243" t="s">
        <v>283</v>
      </c>
      <c r="B143" s="20" t="s">
        <v>533</v>
      </c>
      <c r="C143" s="102"/>
      <c r="D143" s="102"/>
      <c r="E143" s="102"/>
      <c r="F143" s="102"/>
      <c r="G143" s="102"/>
      <c r="H143" s="102"/>
      <c r="I143" s="102"/>
    </row>
    <row r="144" spans="1:9" s="254" customFormat="1" ht="12" customHeight="1">
      <c r="A144" s="243" t="s">
        <v>284</v>
      </c>
      <c r="B144" s="20" t="s">
        <v>462</v>
      </c>
      <c r="C144" s="102"/>
      <c r="D144" s="102"/>
      <c r="E144" s="102"/>
      <c r="F144" s="102"/>
      <c r="G144" s="102"/>
      <c r="H144" s="102"/>
      <c r="I144" s="102"/>
    </row>
    <row r="145" spans="1:9" s="254" customFormat="1" ht="12" customHeight="1" thickBot="1">
      <c r="A145" s="256" t="s">
        <v>285</v>
      </c>
      <c r="B145" s="19" t="s">
        <v>388</v>
      </c>
      <c r="C145" s="102"/>
      <c r="D145" s="102"/>
      <c r="E145" s="102"/>
      <c r="F145" s="102"/>
      <c r="G145" s="102"/>
      <c r="H145" s="102"/>
      <c r="I145" s="102"/>
    </row>
    <row r="146" spans="1:9" s="254" customFormat="1" ht="12" customHeight="1" thickBot="1">
      <c r="A146" s="81" t="s">
        <v>22</v>
      </c>
      <c r="B146" s="21" t="s">
        <v>463</v>
      </c>
      <c r="C146" s="105">
        <f t="shared" ref="C146:H146" si="23">+C147+C148+C149+C150+C151</f>
        <v>0</v>
      </c>
      <c r="D146" s="105">
        <f t="shared" si="23"/>
        <v>0</v>
      </c>
      <c r="E146" s="105">
        <f t="shared" si="23"/>
        <v>0</v>
      </c>
      <c r="F146" s="105">
        <f t="shared" si="23"/>
        <v>0</v>
      </c>
      <c r="G146" s="105">
        <f t="shared" si="23"/>
        <v>0</v>
      </c>
      <c r="H146" s="105">
        <f t="shared" si="23"/>
        <v>0</v>
      </c>
      <c r="I146" s="105">
        <f>+I147+I148+I149+I150+I151</f>
        <v>0</v>
      </c>
    </row>
    <row r="147" spans="1:9" s="254" customFormat="1" ht="12" customHeight="1">
      <c r="A147" s="243" t="s">
        <v>93</v>
      </c>
      <c r="B147" s="20" t="s">
        <v>458</v>
      </c>
      <c r="C147" s="102"/>
      <c r="D147" s="102"/>
      <c r="E147" s="102"/>
      <c r="F147" s="102"/>
      <c r="G147" s="102"/>
      <c r="H147" s="102"/>
      <c r="I147" s="102"/>
    </row>
    <row r="148" spans="1:9" s="254" customFormat="1" ht="12" customHeight="1">
      <c r="A148" s="243" t="s">
        <v>94</v>
      </c>
      <c r="B148" s="20" t="s">
        <v>465</v>
      </c>
      <c r="C148" s="102"/>
      <c r="D148" s="102"/>
      <c r="E148" s="102"/>
      <c r="F148" s="102"/>
      <c r="G148" s="102"/>
      <c r="H148" s="102"/>
      <c r="I148" s="102"/>
    </row>
    <row r="149" spans="1:9" s="254" customFormat="1" ht="12" customHeight="1">
      <c r="A149" s="243" t="s">
        <v>295</v>
      </c>
      <c r="B149" s="20" t="s">
        <v>460</v>
      </c>
      <c r="C149" s="102"/>
      <c r="D149" s="102"/>
      <c r="E149" s="102"/>
      <c r="F149" s="102"/>
      <c r="G149" s="102"/>
      <c r="H149" s="102"/>
      <c r="I149" s="102"/>
    </row>
    <row r="150" spans="1:9" ht="12.75" customHeight="1">
      <c r="A150" s="243" t="s">
        <v>296</v>
      </c>
      <c r="B150" s="20" t="s">
        <v>511</v>
      </c>
      <c r="C150" s="102"/>
      <c r="D150" s="102"/>
      <c r="E150" s="102"/>
      <c r="F150" s="102"/>
      <c r="G150" s="102"/>
      <c r="H150" s="102"/>
      <c r="I150" s="102"/>
    </row>
    <row r="151" spans="1:9" ht="12.75" customHeight="1" thickBot="1">
      <c r="A151" s="256" t="s">
        <v>464</v>
      </c>
      <c r="B151" s="19" t="s">
        <v>467</v>
      </c>
      <c r="C151" s="104"/>
      <c r="D151" s="104"/>
      <c r="E151" s="104"/>
      <c r="F151" s="104"/>
      <c r="G151" s="104"/>
      <c r="H151" s="104"/>
      <c r="I151" s="104"/>
    </row>
    <row r="152" spans="1:9" ht="12.75" customHeight="1" thickBot="1">
      <c r="A152" s="259" t="s">
        <v>23</v>
      </c>
      <c r="B152" s="21" t="s">
        <v>468</v>
      </c>
      <c r="C152" s="105"/>
      <c r="D152" s="105"/>
      <c r="E152" s="105"/>
      <c r="F152" s="105"/>
      <c r="G152" s="105"/>
      <c r="H152" s="105"/>
      <c r="I152" s="105"/>
    </row>
    <row r="153" spans="1:9" ht="12" customHeight="1" thickBot="1">
      <c r="A153" s="259" t="s">
        <v>24</v>
      </c>
      <c r="B153" s="21" t="s">
        <v>469</v>
      </c>
      <c r="C153" s="105"/>
      <c r="D153" s="105"/>
      <c r="E153" s="105"/>
      <c r="F153" s="105"/>
      <c r="G153" s="105"/>
      <c r="H153" s="105"/>
      <c r="I153" s="105"/>
    </row>
    <row r="154" spans="1:9" ht="15" customHeight="1" thickBot="1">
      <c r="A154" s="81" t="s">
        <v>25</v>
      </c>
      <c r="B154" s="21" t="s">
        <v>471</v>
      </c>
      <c r="C154" s="107">
        <f t="shared" ref="C154:H154" si="24">+C129+C133+C140+C146+C152+C153</f>
        <v>0</v>
      </c>
      <c r="D154" s="107">
        <f t="shared" si="24"/>
        <v>0</v>
      </c>
      <c r="E154" s="107">
        <f t="shared" si="24"/>
        <v>0</v>
      </c>
      <c r="F154" s="107">
        <f t="shared" si="24"/>
        <v>0</v>
      </c>
      <c r="G154" s="107">
        <f t="shared" si="24"/>
        <v>0</v>
      </c>
      <c r="H154" s="107">
        <f t="shared" si="24"/>
        <v>0</v>
      </c>
      <c r="I154" s="107">
        <f>+I129+I133+I140+I146+I152+I153</f>
        <v>0</v>
      </c>
    </row>
    <row r="155" spans="1:9" ht="13.5" thickBot="1">
      <c r="A155" s="260" t="s">
        <v>26</v>
      </c>
      <c r="B155" s="110" t="s">
        <v>470</v>
      </c>
      <c r="C155" s="107">
        <f t="shared" ref="C155:H155" si="25">+C128+C154</f>
        <v>0</v>
      </c>
      <c r="D155" s="107">
        <f t="shared" si="25"/>
        <v>0</v>
      </c>
      <c r="E155" s="107">
        <f t="shared" si="25"/>
        <v>0</v>
      </c>
      <c r="F155" s="107">
        <f t="shared" si="25"/>
        <v>0</v>
      </c>
      <c r="G155" s="107">
        <f t="shared" si="25"/>
        <v>0</v>
      </c>
      <c r="H155" s="107">
        <f t="shared" si="25"/>
        <v>0</v>
      </c>
      <c r="I155" s="107">
        <f>+I128+I154</f>
        <v>0</v>
      </c>
    </row>
    <row r="156" spans="1:9" ht="15" customHeight="1" thickBot="1"/>
    <row r="157" spans="1:9" ht="14.25" customHeight="1" thickBot="1">
      <c r="A157" s="33" t="s">
        <v>512</v>
      </c>
      <c r="B157" s="34"/>
      <c r="C157" s="35"/>
      <c r="D157" s="35"/>
      <c r="E157" s="35"/>
      <c r="F157" s="35"/>
      <c r="G157" s="35"/>
      <c r="H157" s="35"/>
      <c r="I157" s="35"/>
    </row>
    <row r="158" spans="1:9" ht="13.5" thickBot="1">
      <c r="A158" s="33" t="s">
        <v>196</v>
      </c>
      <c r="B158" s="34"/>
      <c r="C158" s="35"/>
      <c r="D158" s="35"/>
      <c r="E158" s="35"/>
      <c r="F158" s="35"/>
      <c r="G158" s="35"/>
      <c r="H158" s="35"/>
      <c r="I158" s="35"/>
    </row>
  </sheetData>
  <sheetProtection formatCells="0"/>
  <phoneticPr fontId="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4" orientation="landscape" verticalDpi="300" r:id="rId1"/>
  <headerFooter alignWithMargins="0">
    <oddFooter>&amp;P. oldal, összesen: &amp;N</oddFooter>
  </headerFooter>
  <rowBreaks count="2" manualBreakCount="2">
    <brk id="65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8"/>
  </sheetPr>
  <dimension ref="A1:F61"/>
  <sheetViews>
    <sheetView topLeftCell="B1"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6" width="25" style="659" customWidth="1"/>
    <col min="7" max="16384" width="9.33203125" style="659"/>
  </cols>
  <sheetData>
    <row r="1" spans="1:6" s="645" customFormat="1" ht="21" customHeight="1" thickBot="1">
      <c r="A1" s="643"/>
      <c r="B1" s="644" t="s">
        <v>794</v>
      </c>
      <c r="C1" s="644"/>
      <c r="D1" s="644"/>
      <c r="E1" s="644"/>
      <c r="F1" s="644"/>
    </row>
    <row r="2" spans="1:6" s="649" customFormat="1" ht="33" customHeight="1">
      <c r="A2" s="646" t="s">
        <v>194</v>
      </c>
      <c r="B2" s="647" t="s">
        <v>539</v>
      </c>
      <c r="C2" s="648" t="s">
        <v>56</v>
      </c>
      <c r="D2" s="648" t="s">
        <v>56</v>
      </c>
      <c r="E2" s="648" t="s">
        <v>56</v>
      </c>
      <c r="F2" s="648" t="s">
        <v>56</v>
      </c>
    </row>
    <row r="3" spans="1:6" s="649" customFormat="1" ht="24.75" thickBot="1">
      <c r="A3" s="650" t="s">
        <v>193</v>
      </c>
      <c r="B3" s="651" t="s">
        <v>396</v>
      </c>
      <c r="C3" s="652" t="s">
        <v>56</v>
      </c>
      <c r="D3" s="652" t="s">
        <v>56</v>
      </c>
      <c r="E3" s="652" t="s">
        <v>56</v>
      </c>
      <c r="F3" s="652" t="s">
        <v>56</v>
      </c>
    </row>
    <row r="4" spans="1:6" s="655" customFormat="1" ht="15.95" customHeight="1" thickBot="1">
      <c r="A4" s="653"/>
      <c r="B4" s="653"/>
      <c r="C4" s="654" t="s">
        <v>588</v>
      </c>
      <c r="D4" s="654" t="s">
        <v>588</v>
      </c>
      <c r="E4" s="654" t="s">
        <v>588</v>
      </c>
      <c r="F4" s="654" t="s">
        <v>588</v>
      </c>
    </row>
    <row r="5" spans="1:6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780</v>
      </c>
    </row>
    <row r="6" spans="1:6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</row>
    <row r="7" spans="1:6" s="663" customFormat="1" ht="15.95" customHeight="1" thickBot="1">
      <c r="A7" s="664"/>
      <c r="B7" s="665" t="s">
        <v>53</v>
      </c>
      <c r="C7" s="666"/>
      <c r="D7" s="666"/>
      <c r="E7" s="666"/>
      <c r="F7" s="666"/>
    </row>
    <row r="8" spans="1:6" s="669" customFormat="1" ht="12" customHeight="1" thickBot="1">
      <c r="A8" s="660" t="s">
        <v>16</v>
      </c>
      <c r="B8" s="667" t="s">
        <v>513</v>
      </c>
      <c r="C8" s="668">
        <f>SUM(C9:C19)</f>
        <v>1611140</v>
      </c>
      <c r="D8" s="668">
        <f>SUM(D9:D19)</f>
        <v>1611140</v>
      </c>
      <c r="E8" s="668">
        <f>SUM(E9:E19)</f>
        <v>1901140</v>
      </c>
      <c r="F8" s="668">
        <f>SUM(F9:F19)</f>
        <v>2131140</v>
      </c>
    </row>
    <row r="9" spans="1:6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</row>
    <row r="10" spans="1:6" s="669" customFormat="1" ht="12" customHeight="1">
      <c r="A10" s="673" t="s">
        <v>96</v>
      </c>
      <c r="B10" s="674" t="s">
        <v>273</v>
      </c>
      <c r="C10" s="675">
        <v>1050000</v>
      </c>
      <c r="D10" s="675">
        <v>1050000</v>
      </c>
      <c r="E10" s="675">
        <f>1050000+65000</f>
        <v>1115000</v>
      </c>
      <c r="F10" s="675">
        <f>1050000+65000+95000</f>
        <v>1210000</v>
      </c>
    </row>
    <row r="11" spans="1:6" s="669" customFormat="1" ht="12" customHeight="1">
      <c r="A11" s="673" t="s">
        <v>97</v>
      </c>
      <c r="B11" s="674" t="s">
        <v>274</v>
      </c>
      <c r="C11" s="675">
        <v>560000</v>
      </c>
      <c r="D11" s="675">
        <v>560000</v>
      </c>
      <c r="E11" s="675">
        <f>560000+200000</f>
        <v>760000</v>
      </c>
      <c r="F11" s="675">
        <f>560000+200000+135000</f>
        <v>895000</v>
      </c>
    </row>
    <row r="12" spans="1:6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</row>
    <row r="13" spans="1:6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</row>
    <row r="14" spans="1:6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</row>
    <row r="15" spans="1:6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</row>
    <row r="16" spans="1:6" s="669" customFormat="1" ht="12" customHeight="1">
      <c r="A16" s="673" t="s">
        <v>110</v>
      </c>
      <c r="B16" s="674" t="s">
        <v>279</v>
      </c>
      <c r="C16" s="677">
        <v>140</v>
      </c>
      <c r="D16" s="677">
        <v>140</v>
      </c>
      <c r="E16" s="677">
        <v>140</v>
      </c>
      <c r="F16" s="677">
        <v>140</v>
      </c>
    </row>
    <row r="17" spans="1:6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</row>
    <row r="18" spans="1:6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</row>
    <row r="19" spans="1:6" s="678" customFormat="1" ht="12" customHeight="1" thickBot="1">
      <c r="A19" s="673" t="s">
        <v>113</v>
      </c>
      <c r="B19" s="676" t="s">
        <v>281</v>
      </c>
      <c r="C19" s="679">
        <v>1000</v>
      </c>
      <c r="D19" s="679">
        <v>1000</v>
      </c>
      <c r="E19" s="679">
        <f>1000+25000</f>
        <v>26000</v>
      </c>
      <c r="F19" s="679">
        <f>1000+25000</f>
        <v>26000</v>
      </c>
    </row>
    <row r="20" spans="1:6" s="669" customFormat="1" ht="12" customHeight="1" thickBot="1">
      <c r="A20" s="660" t="s">
        <v>17</v>
      </c>
      <c r="B20" s="667" t="s">
        <v>399</v>
      </c>
      <c r="C20" s="668">
        <f>SUM(C21:C23)</f>
        <v>1252761</v>
      </c>
      <c r="D20" s="668">
        <f>SUM(D21:D23)</f>
        <v>1294833</v>
      </c>
      <c r="E20" s="668">
        <f>SUM(E21:E23)</f>
        <v>1294833</v>
      </c>
      <c r="F20" s="668">
        <f>SUM(F21:F23)</f>
        <v>1294833</v>
      </c>
    </row>
    <row r="21" spans="1:6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</row>
    <row r="22" spans="1:6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</row>
    <row r="23" spans="1:6" s="678" customFormat="1" ht="12" customHeight="1">
      <c r="A23" s="673" t="s">
        <v>103</v>
      </c>
      <c r="B23" s="674" t="s">
        <v>401</v>
      </c>
      <c r="C23" s="675">
        <v>1252761</v>
      </c>
      <c r="D23" s="675">
        <f>1252761+42072</f>
        <v>1294833</v>
      </c>
      <c r="E23" s="675">
        <f>1252761+42072</f>
        <v>1294833</v>
      </c>
      <c r="F23" s="675">
        <f>1252761+42072</f>
        <v>1294833</v>
      </c>
    </row>
    <row r="24" spans="1:6" s="678" customFormat="1" ht="12" customHeight="1" thickBot="1">
      <c r="A24" s="673" t="s">
        <v>104</v>
      </c>
      <c r="B24" s="674" t="s">
        <v>514</v>
      </c>
      <c r="C24" s="675"/>
      <c r="D24" s="675"/>
      <c r="E24" s="675"/>
      <c r="F24" s="675"/>
    </row>
    <row r="25" spans="1:6" s="678" customFormat="1" ht="12" customHeight="1" thickBot="1">
      <c r="A25" s="681" t="s">
        <v>18</v>
      </c>
      <c r="B25" s="682" t="s">
        <v>165</v>
      </c>
      <c r="C25" s="683"/>
      <c r="D25" s="683">
        <v>5000</v>
      </c>
      <c r="E25" s="683">
        <v>5000</v>
      </c>
      <c r="F25" s="683">
        <v>5000</v>
      </c>
    </row>
    <row r="26" spans="1:6" s="678" customFormat="1" ht="12" customHeight="1" thickBot="1">
      <c r="A26" s="681" t="s">
        <v>19</v>
      </c>
      <c r="B26" s="682" t="s">
        <v>515</v>
      </c>
      <c r="C26" s="668">
        <f>+C27+C28+C29</f>
        <v>0</v>
      </c>
      <c r="D26" s="668">
        <f>+D27+D28+D29</f>
        <v>0</v>
      </c>
      <c r="E26" s="668">
        <f>+E27+E28+E29</f>
        <v>0</v>
      </c>
      <c r="F26" s="668">
        <f>+F27+F28+F29</f>
        <v>0</v>
      </c>
    </row>
    <row r="27" spans="1:6" s="678" customFormat="1" ht="12" customHeight="1">
      <c r="A27" s="684" t="s">
        <v>259</v>
      </c>
      <c r="B27" s="685" t="s">
        <v>254</v>
      </c>
      <c r="C27" s="686"/>
      <c r="D27" s="686"/>
      <c r="E27" s="686"/>
      <c r="F27" s="686"/>
    </row>
    <row r="28" spans="1:6" s="678" customFormat="1" ht="12" customHeight="1">
      <c r="A28" s="684" t="s">
        <v>262</v>
      </c>
      <c r="B28" s="685" t="s">
        <v>400</v>
      </c>
      <c r="C28" s="675"/>
      <c r="D28" s="675"/>
      <c r="E28" s="675"/>
      <c r="F28" s="675"/>
    </row>
    <row r="29" spans="1:6" s="678" customFormat="1" ht="12" customHeight="1">
      <c r="A29" s="684" t="s">
        <v>263</v>
      </c>
      <c r="B29" s="687" t="s">
        <v>403</v>
      </c>
      <c r="C29" s="675"/>
      <c r="D29" s="675"/>
      <c r="E29" s="675"/>
      <c r="F29" s="675"/>
    </row>
    <row r="30" spans="1:6" s="678" customFormat="1" ht="12" customHeight="1" thickBot="1">
      <c r="A30" s="673" t="s">
        <v>264</v>
      </c>
      <c r="B30" s="688" t="s">
        <v>516</v>
      </c>
      <c r="C30" s="689"/>
      <c r="D30" s="689"/>
      <c r="E30" s="689"/>
      <c r="F30" s="689"/>
    </row>
    <row r="31" spans="1:6" s="678" customFormat="1" ht="12" customHeight="1" thickBot="1">
      <c r="A31" s="681" t="s">
        <v>20</v>
      </c>
      <c r="B31" s="682" t="s">
        <v>404</v>
      </c>
      <c r="C31" s="668">
        <f>+C32+C33+C34</f>
        <v>0</v>
      </c>
      <c r="D31" s="668">
        <f>+D32+D33+D34</f>
        <v>0</v>
      </c>
      <c r="E31" s="668">
        <f>+E32+E33+E34</f>
        <v>0</v>
      </c>
      <c r="F31" s="668">
        <f>+F32+F33+F34</f>
        <v>0</v>
      </c>
    </row>
    <row r="32" spans="1:6" s="678" customFormat="1" ht="12" customHeight="1">
      <c r="A32" s="684" t="s">
        <v>88</v>
      </c>
      <c r="B32" s="685" t="s">
        <v>286</v>
      </c>
      <c r="C32" s="686"/>
      <c r="D32" s="686"/>
      <c r="E32" s="686"/>
      <c r="F32" s="686"/>
    </row>
    <row r="33" spans="1:6" s="678" customFormat="1" ht="12" customHeight="1">
      <c r="A33" s="684" t="s">
        <v>89</v>
      </c>
      <c r="B33" s="687" t="s">
        <v>287</v>
      </c>
      <c r="C33" s="690"/>
      <c r="D33" s="690"/>
      <c r="E33" s="690"/>
      <c r="F33" s="690"/>
    </row>
    <row r="34" spans="1:6" s="678" customFormat="1" ht="12" customHeight="1" thickBot="1">
      <c r="A34" s="673" t="s">
        <v>90</v>
      </c>
      <c r="B34" s="688" t="s">
        <v>288</v>
      </c>
      <c r="C34" s="689"/>
      <c r="D34" s="689"/>
      <c r="E34" s="689"/>
      <c r="F34" s="689"/>
    </row>
    <row r="35" spans="1:6" s="669" customFormat="1" ht="12" customHeight="1" thickBot="1">
      <c r="A35" s="681" t="s">
        <v>21</v>
      </c>
      <c r="B35" s="682" t="s">
        <v>373</v>
      </c>
      <c r="C35" s="683"/>
      <c r="D35" s="683"/>
      <c r="E35" s="683"/>
      <c r="F35" s="683"/>
    </row>
    <row r="36" spans="1:6" s="669" customFormat="1" ht="12" customHeight="1" thickBot="1">
      <c r="A36" s="681" t="s">
        <v>22</v>
      </c>
      <c r="B36" s="682" t="s">
        <v>405</v>
      </c>
      <c r="C36" s="691"/>
      <c r="D36" s="691"/>
      <c r="E36" s="691"/>
      <c r="F36" s="691"/>
    </row>
    <row r="37" spans="1:6" s="669" customFormat="1" ht="12" customHeight="1" thickBot="1">
      <c r="A37" s="660" t="s">
        <v>23</v>
      </c>
      <c r="B37" s="682" t="s">
        <v>406</v>
      </c>
      <c r="C37" s="692">
        <f>+C8+C20+C25+C26+C31+C35+C36</f>
        <v>2863901</v>
      </c>
      <c r="D37" s="692">
        <f>+D8+D20+D25+D26+D31+D35+D36</f>
        <v>2910973</v>
      </c>
      <c r="E37" s="692">
        <f>+E8+E20+E25+E26+E31+E35+E36</f>
        <v>3200973</v>
      </c>
      <c r="F37" s="692">
        <f>+F8+F20+F25+F26+F31+F35+F36</f>
        <v>3430973</v>
      </c>
    </row>
    <row r="38" spans="1:6" s="669" customFormat="1" ht="12" customHeight="1" thickBot="1">
      <c r="A38" s="693" t="s">
        <v>24</v>
      </c>
      <c r="B38" s="682" t="s">
        <v>407</v>
      </c>
      <c r="C38" s="692">
        <f>+C39+C40+C41</f>
        <v>121246838</v>
      </c>
      <c r="D38" s="692">
        <f>+D39+D40+D41</f>
        <v>121410281</v>
      </c>
      <c r="E38" s="692">
        <f>+E39+E40+E41</f>
        <v>122759681</v>
      </c>
      <c r="F38" s="692">
        <f>+F39+F40+F41</f>
        <v>122529681</v>
      </c>
    </row>
    <row r="39" spans="1:6" s="669" customFormat="1" ht="12" customHeight="1">
      <c r="A39" s="684" t="s">
        <v>408</v>
      </c>
      <c r="B39" s="685" t="s">
        <v>229</v>
      </c>
      <c r="C39" s="686">
        <v>3610739</v>
      </c>
      <c r="D39" s="686">
        <f>3610739+945745</f>
        <v>4556484</v>
      </c>
      <c r="E39" s="686">
        <f>3610739+945745</f>
        <v>4556484</v>
      </c>
      <c r="F39" s="686">
        <f>3610739+945745</f>
        <v>4556484</v>
      </c>
    </row>
    <row r="40" spans="1:6" s="669" customFormat="1" ht="12" customHeight="1">
      <c r="A40" s="684" t="s">
        <v>409</v>
      </c>
      <c r="B40" s="687" t="s">
        <v>2</v>
      </c>
      <c r="C40" s="690"/>
      <c r="D40" s="690"/>
      <c r="E40" s="690"/>
      <c r="F40" s="690"/>
    </row>
    <row r="41" spans="1:6" s="678" customFormat="1" ht="12" customHeight="1" thickBot="1">
      <c r="A41" s="673" t="s">
        <v>410</v>
      </c>
      <c r="B41" s="688" t="s">
        <v>411</v>
      </c>
      <c r="C41" s="689">
        <v>117636099</v>
      </c>
      <c r="D41" s="689">
        <f>117636099-945745-5000+168443</f>
        <v>116853797</v>
      </c>
      <c r="E41" s="689">
        <f>117636099-945745-5000+168443+1099400-65000-200000-25000+540000</f>
        <v>118203197</v>
      </c>
      <c r="F41" s="689">
        <f>118203197-230000</f>
        <v>117973197</v>
      </c>
    </row>
    <row r="42" spans="1:6" s="678" customFormat="1" ht="15" customHeight="1" thickBot="1">
      <c r="A42" s="693" t="s">
        <v>25</v>
      </c>
      <c r="B42" s="694" t="s">
        <v>412</v>
      </c>
      <c r="C42" s="695">
        <f>C37+C38</f>
        <v>124110739</v>
      </c>
      <c r="D42" s="695">
        <f>D37+D38</f>
        <v>124321254</v>
      </c>
      <c r="E42" s="695">
        <f>E37+E38</f>
        <v>125960654</v>
      </c>
      <c r="F42" s="695">
        <f>F37+F38</f>
        <v>125960654</v>
      </c>
    </row>
    <row r="43" spans="1:6" s="678" customFormat="1" ht="15" customHeight="1">
      <c r="A43" s="696"/>
      <c r="B43" s="697"/>
      <c r="C43" s="698"/>
      <c r="D43" s="698"/>
      <c r="E43" s="698"/>
      <c r="F43" s="698"/>
    </row>
    <row r="44" spans="1:6" ht="13.5" thickBot="1">
      <c r="A44" s="699"/>
      <c r="B44" s="700"/>
      <c r="C44" s="701"/>
      <c r="D44" s="701"/>
      <c r="E44" s="701"/>
      <c r="F44" s="701"/>
    </row>
    <row r="45" spans="1:6" s="663" customFormat="1" ht="16.5" customHeight="1" thickBot="1">
      <c r="A45" s="702"/>
      <c r="B45" s="703" t="s">
        <v>54</v>
      </c>
      <c r="C45" s="695"/>
      <c r="D45" s="695"/>
      <c r="E45" s="695"/>
      <c r="F45" s="695"/>
    </row>
    <row r="46" spans="1:6" s="704" customFormat="1" ht="12" customHeight="1" thickBot="1">
      <c r="A46" s="681" t="s">
        <v>16</v>
      </c>
      <c r="B46" s="682" t="s">
        <v>413</v>
      </c>
      <c r="C46" s="668">
        <f>SUM(C47:C51)</f>
        <v>123359739</v>
      </c>
      <c r="D46" s="668">
        <f>SUM(D47:D51)</f>
        <v>123570254</v>
      </c>
      <c r="E46" s="668">
        <f>SUM(E47:E51)</f>
        <v>125209654</v>
      </c>
      <c r="F46" s="668">
        <f>SUM(F47:F51)</f>
        <v>125209654</v>
      </c>
    </row>
    <row r="47" spans="1:6" ht="12" customHeight="1">
      <c r="A47" s="673" t="s">
        <v>95</v>
      </c>
      <c r="B47" s="680" t="s">
        <v>46</v>
      </c>
      <c r="C47" s="686">
        <v>78769100</v>
      </c>
      <c r="D47" s="686">
        <f>78769100+140700-35000+73927+957</f>
        <v>78949684</v>
      </c>
      <c r="E47" s="686">
        <f>78769100+140700-35000+73927+957+920000+451885</f>
        <v>80321569</v>
      </c>
      <c r="F47" s="686">
        <f>78769100+140700-35000+73927+957+920000+451885</f>
        <v>80321569</v>
      </c>
    </row>
    <row r="48" spans="1:6" ht="12" customHeight="1">
      <c r="A48" s="673" t="s">
        <v>96</v>
      </c>
      <c r="B48" s="674" t="s">
        <v>174</v>
      </c>
      <c r="C48" s="705">
        <v>16172510</v>
      </c>
      <c r="D48" s="705">
        <f>16172510+27743+29607-957</f>
        <v>16228903</v>
      </c>
      <c r="E48" s="705">
        <f>16172510+27743+29607-957+179400+88115</f>
        <v>16496418</v>
      </c>
      <c r="F48" s="705">
        <f>16172510+27743+29607-957+179400+88115</f>
        <v>16496418</v>
      </c>
    </row>
    <row r="49" spans="1:6" ht="12" customHeight="1">
      <c r="A49" s="673" t="s">
        <v>97</v>
      </c>
      <c r="B49" s="674" t="s">
        <v>133</v>
      </c>
      <c r="C49" s="705">
        <v>28418129</v>
      </c>
      <c r="D49" s="705">
        <f>28418129-2873-23589</f>
        <v>28391667</v>
      </c>
      <c r="E49" s="705">
        <f>28418129-2873-23589</f>
        <v>28391667</v>
      </c>
      <c r="F49" s="705">
        <f>28418129-2873-23589</f>
        <v>28391667</v>
      </c>
    </row>
    <row r="50" spans="1:6" ht="12" customHeight="1">
      <c r="A50" s="673" t="s">
        <v>98</v>
      </c>
      <c r="B50" s="674" t="s">
        <v>175</v>
      </c>
      <c r="C50" s="705"/>
      <c r="D50" s="705"/>
      <c r="E50" s="705"/>
      <c r="F50" s="705"/>
    </row>
    <row r="51" spans="1:6" ht="12" customHeight="1" thickBot="1">
      <c r="A51" s="673" t="s">
        <v>141</v>
      </c>
      <c r="B51" s="674" t="s">
        <v>176</v>
      </c>
      <c r="C51" s="705"/>
      <c r="D51" s="705"/>
      <c r="E51" s="705"/>
      <c r="F51" s="705"/>
    </row>
    <row r="52" spans="1:6" ht="12" customHeight="1" thickBot="1">
      <c r="A52" s="681" t="s">
        <v>17</v>
      </c>
      <c r="B52" s="682" t="s">
        <v>414</v>
      </c>
      <c r="C52" s="668">
        <f>SUM(C53:C55)</f>
        <v>751000</v>
      </c>
      <c r="D52" s="668">
        <f>SUM(D53:D55)</f>
        <v>751000</v>
      </c>
      <c r="E52" s="668">
        <f>SUM(E53:E55)</f>
        <v>751000</v>
      </c>
      <c r="F52" s="668">
        <f>SUM(F53:F55)</f>
        <v>751000</v>
      </c>
    </row>
    <row r="53" spans="1:6" s="704" customFormat="1" ht="12" customHeight="1">
      <c r="A53" s="673" t="s">
        <v>101</v>
      </c>
      <c r="B53" s="680" t="s">
        <v>219</v>
      </c>
      <c r="C53" s="686">
        <v>751000</v>
      </c>
      <c r="D53" s="686">
        <v>751000</v>
      </c>
      <c r="E53" s="686">
        <v>751000</v>
      </c>
      <c r="F53" s="686">
        <v>751000</v>
      </c>
    </row>
    <row r="54" spans="1:6" ht="12" customHeight="1">
      <c r="A54" s="673" t="s">
        <v>102</v>
      </c>
      <c r="B54" s="674" t="s">
        <v>178</v>
      </c>
      <c r="C54" s="705"/>
      <c r="D54" s="705"/>
      <c r="E54" s="705"/>
      <c r="F54" s="705"/>
    </row>
    <row r="55" spans="1:6" ht="12" customHeight="1">
      <c r="A55" s="673" t="s">
        <v>103</v>
      </c>
      <c r="B55" s="674" t="s">
        <v>55</v>
      </c>
      <c r="C55" s="705"/>
      <c r="D55" s="705"/>
      <c r="E55" s="705"/>
      <c r="F55" s="705"/>
    </row>
    <row r="56" spans="1:6" ht="12" customHeight="1" thickBot="1">
      <c r="A56" s="673" t="s">
        <v>104</v>
      </c>
      <c r="B56" s="674" t="s">
        <v>517</v>
      </c>
      <c r="C56" s="705"/>
      <c r="D56" s="705"/>
      <c r="E56" s="705"/>
      <c r="F56" s="705"/>
    </row>
    <row r="57" spans="1:6" ht="15" customHeight="1" thickBot="1">
      <c r="A57" s="681" t="s">
        <v>18</v>
      </c>
      <c r="B57" s="682" t="s">
        <v>12</v>
      </c>
      <c r="C57" s="683"/>
      <c r="D57" s="683"/>
      <c r="E57" s="683"/>
      <c r="F57" s="683"/>
    </row>
    <row r="58" spans="1:6" ht="13.5" thickBot="1">
      <c r="A58" s="681" t="s">
        <v>19</v>
      </c>
      <c r="B58" s="706" t="s">
        <v>522</v>
      </c>
      <c r="C58" s="707">
        <f>+C46+C52+C57</f>
        <v>124110739</v>
      </c>
      <c r="D58" s="707">
        <f>+D46+D52+D57</f>
        <v>124321254</v>
      </c>
      <c r="E58" s="707">
        <f>+E46+E52+E57</f>
        <v>125960654</v>
      </c>
      <c r="F58" s="707">
        <f>+F46+F52+F57</f>
        <v>125960654</v>
      </c>
    </row>
    <row r="59" spans="1:6" ht="15" customHeight="1" thickBot="1">
      <c r="C59" s="709"/>
      <c r="D59" s="709"/>
      <c r="E59" s="709"/>
      <c r="F59" s="709"/>
    </row>
    <row r="60" spans="1:6" ht="14.25" customHeight="1" thickBot="1">
      <c r="A60" s="710" t="s">
        <v>512</v>
      </c>
      <c r="B60" s="711"/>
      <c r="C60" s="712">
        <v>19</v>
      </c>
      <c r="D60" s="712">
        <v>19</v>
      </c>
      <c r="E60" s="712">
        <v>19</v>
      </c>
      <c r="F60" s="712">
        <v>19</v>
      </c>
    </row>
    <row r="61" spans="1:6" ht="13.5" thickBot="1">
      <c r="A61" s="710" t="s">
        <v>196</v>
      </c>
      <c r="B61" s="711"/>
      <c r="C61" s="712"/>
      <c r="D61" s="712"/>
      <c r="E61" s="712"/>
      <c r="F61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landscape" verticalDpi="300" r:id="rId1"/>
  <headerFooter alignWithMargins="0">
    <oddFooter>&amp;P. oldal, összesen: &amp;N</oddFooter>
  </headerFooter>
  <rowBreaks count="2" manualBreakCount="2">
    <brk id="25" max="16383" man="1"/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8"/>
  </sheetPr>
  <dimension ref="A1:F61"/>
  <sheetViews>
    <sheetView topLeftCell="B1"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6" width="25" style="659" customWidth="1"/>
    <col min="7" max="16384" width="9.33203125" style="659"/>
  </cols>
  <sheetData>
    <row r="1" spans="1:6" s="645" customFormat="1" ht="21" customHeight="1" thickBot="1">
      <c r="A1" s="643"/>
      <c r="B1" s="644" t="s">
        <v>795</v>
      </c>
      <c r="C1" s="644"/>
      <c r="D1" s="644"/>
      <c r="E1" s="644"/>
      <c r="F1" s="644"/>
    </row>
    <row r="2" spans="1:6" s="649" customFormat="1" ht="34.5" customHeight="1">
      <c r="A2" s="646" t="s">
        <v>194</v>
      </c>
      <c r="B2" s="647" t="s">
        <v>553</v>
      </c>
      <c r="C2" s="648" t="s">
        <v>56</v>
      </c>
      <c r="D2" s="648" t="s">
        <v>56</v>
      </c>
      <c r="E2" s="648" t="s">
        <v>56</v>
      </c>
      <c r="F2" s="648" t="s">
        <v>56</v>
      </c>
    </row>
    <row r="3" spans="1:6" s="649" customFormat="1" ht="24.75" thickBot="1">
      <c r="A3" s="650" t="s">
        <v>193</v>
      </c>
      <c r="B3" s="651" t="s">
        <v>396</v>
      </c>
      <c r="C3" s="652" t="s">
        <v>51</v>
      </c>
      <c r="D3" s="652" t="s">
        <v>51</v>
      </c>
      <c r="E3" s="652" t="s">
        <v>51</v>
      </c>
      <c r="F3" s="652" t="s">
        <v>51</v>
      </c>
    </row>
    <row r="4" spans="1:6" s="655" customFormat="1" ht="15.95" customHeight="1" thickBot="1">
      <c r="A4" s="653"/>
      <c r="B4" s="653"/>
      <c r="C4" s="654" t="s">
        <v>588</v>
      </c>
      <c r="D4" s="654" t="s">
        <v>588</v>
      </c>
      <c r="E4" s="654" t="s">
        <v>588</v>
      </c>
      <c r="F4" s="654" t="s">
        <v>588</v>
      </c>
    </row>
    <row r="5" spans="1:6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780</v>
      </c>
    </row>
    <row r="6" spans="1:6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</row>
    <row r="7" spans="1:6" s="663" customFormat="1" ht="15.95" customHeight="1" thickBot="1">
      <c r="A7" s="664"/>
      <c r="B7" s="665" t="s">
        <v>53</v>
      </c>
      <c r="C7" s="666"/>
      <c r="D7" s="666"/>
      <c r="E7" s="666"/>
      <c r="F7" s="666"/>
    </row>
    <row r="8" spans="1:6" s="669" customFormat="1" ht="12" customHeight="1" thickBot="1">
      <c r="A8" s="660" t="s">
        <v>16</v>
      </c>
      <c r="B8" s="667" t="s">
        <v>513</v>
      </c>
      <c r="C8" s="668">
        <f>SUM(C9:C19)</f>
        <v>1186140</v>
      </c>
      <c r="D8" s="668">
        <f>SUM(D9:D19)</f>
        <v>1186140</v>
      </c>
      <c r="E8" s="668">
        <f>SUM(E9:E19)</f>
        <v>1416140</v>
      </c>
      <c r="F8" s="668">
        <f>SUM(F9:F19)</f>
        <v>1631140</v>
      </c>
    </row>
    <row r="9" spans="1:6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</row>
    <row r="10" spans="1:6" s="669" customFormat="1" ht="12" customHeight="1">
      <c r="A10" s="673" t="s">
        <v>96</v>
      </c>
      <c r="B10" s="674" t="s">
        <v>273</v>
      </c>
      <c r="C10" s="675">
        <v>625000</v>
      </c>
      <c r="D10" s="675">
        <v>625000</v>
      </c>
      <c r="E10" s="675">
        <f>625000+5000</f>
        <v>630000</v>
      </c>
      <c r="F10" s="675">
        <f>625000+5000+80000</f>
        <v>710000</v>
      </c>
    </row>
    <row r="11" spans="1:6" s="669" customFormat="1" ht="12" customHeight="1">
      <c r="A11" s="673" t="s">
        <v>97</v>
      </c>
      <c r="B11" s="674" t="s">
        <v>274</v>
      </c>
      <c r="C11" s="675">
        <v>560000</v>
      </c>
      <c r="D11" s="675">
        <v>560000</v>
      </c>
      <c r="E11" s="675">
        <f>560000+200000</f>
        <v>760000</v>
      </c>
      <c r="F11" s="675">
        <f>560000+200000+135000</f>
        <v>895000</v>
      </c>
    </row>
    <row r="12" spans="1:6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</row>
    <row r="13" spans="1:6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</row>
    <row r="14" spans="1:6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</row>
    <row r="15" spans="1:6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</row>
    <row r="16" spans="1:6" s="669" customFormat="1" ht="12" customHeight="1">
      <c r="A16" s="673" t="s">
        <v>110</v>
      </c>
      <c r="B16" s="674" t="s">
        <v>279</v>
      </c>
      <c r="C16" s="677">
        <v>140</v>
      </c>
      <c r="D16" s="677">
        <v>140</v>
      </c>
      <c r="E16" s="677">
        <v>140</v>
      </c>
      <c r="F16" s="677">
        <v>140</v>
      </c>
    </row>
    <row r="17" spans="1:6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</row>
    <row r="18" spans="1:6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</row>
    <row r="19" spans="1:6" s="678" customFormat="1" ht="12" customHeight="1" thickBot="1">
      <c r="A19" s="673" t="s">
        <v>113</v>
      </c>
      <c r="B19" s="676" t="s">
        <v>281</v>
      </c>
      <c r="C19" s="679">
        <v>1000</v>
      </c>
      <c r="D19" s="679">
        <v>1000</v>
      </c>
      <c r="E19" s="679">
        <f>1000+25000</f>
        <v>26000</v>
      </c>
      <c r="F19" s="679">
        <f>1000+25000</f>
        <v>26000</v>
      </c>
    </row>
    <row r="20" spans="1:6" s="669" customFormat="1" ht="12" customHeight="1" thickBot="1">
      <c r="A20" s="660" t="s">
        <v>17</v>
      </c>
      <c r="B20" s="667" t="s">
        <v>399</v>
      </c>
      <c r="C20" s="668">
        <f>SUM(C21:C23)</f>
        <v>799324</v>
      </c>
      <c r="D20" s="668">
        <f>SUM(D21:D23)</f>
        <v>979790</v>
      </c>
      <c r="E20" s="668">
        <f>SUM(E21:E23)</f>
        <v>979790</v>
      </c>
      <c r="F20" s="668">
        <f>SUM(F21:F23)</f>
        <v>979790</v>
      </c>
    </row>
    <row r="21" spans="1:6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</row>
    <row r="22" spans="1:6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</row>
    <row r="23" spans="1:6" s="678" customFormat="1" ht="12" customHeight="1">
      <c r="A23" s="673" t="s">
        <v>103</v>
      </c>
      <c r="B23" s="674" t="s">
        <v>401</v>
      </c>
      <c r="C23" s="675">
        <v>799324</v>
      </c>
      <c r="D23" s="675">
        <f>799324+180466</f>
        <v>979790</v>
      </c>
      <c r="E23" s="675">
        <f>799324+180466</f>
        <v>979790</v>
      </c>
      <c r="F23" s="675">
        <f>799324+180466</f>
        <v>979790</v>
      </c>
    </row>
    <row r="24" spans="1:6" s="678" customFormat="1" ht="12" customHeight="1" thickBot="1">
      <c r="A24" s="673" t="s">
        <v>104</v>
      </c>
      <c r="B24" s="674" t="s">
        <v>514</v>
      </c>
      <c r="C24" s="675"/>
      <c r="D24" s="675"/>
      <c r="E24" s="675"/>
      <c r="F24" s="675"/>
    </row>
    <row r="25" spans="1:6" s="678" customFormat="1" ht="12" customHeight="1" thickBot="1">
      <c r="A25" s="681" t="s">
        <v>18</v>
      </c>
      <c r="B25" s="682" t="s">
        <v>165</v>
      </c>
      <c r="C25" s="683"/>
      <c r="D25" s="683">
        <v>5000</v>
      </c>
      <c r="E25" s="683">
        <v>5000</v>
      </c>
      <c r="F25" s="683">
        <v>5000</v>
      </c>
    </row>
    <row r="26" spans="1:6" s="678" customFormat="1" ht="12" customHeight="1" thickBot="1">
      <c r="A26" s="681" t="s">
        <v>19</v>
      </c>
      <c r="B26" s="682" t="s">
        <v>515</v>
      </c>
      <c r="C26" s="668">
        <f>+C27+C28+C29</f>
        <v>0</v>
      </c>
      <c r="D26" s="668">
        <f>+D27+D28+D29</f>
        <v>0</v>
      </c>
      <c r="E26" s="668">
        <f>+E27+E28+E29</f>
        <v>0</v>
      </c>
      <c r="F26" s="668">
        <f>+F27+F28+F29</f>
        <v>0</v>
      </c>
    </row>
    <row r="27" spans="1:6" s="678" customFormat="1" ht="12" customHeight="1">
      <c r="A27" s="684" t="s">
        <v>259</v>
      </c>
      <c r="B27" s="685" t="s">
        <v>254</v>
      </c>
      <c r="C27" s="686"/>
      <c r="D27" s="686"/>
      <c r="E27" s="686"/>
      <c r="F27" s="686"/>
    </row>
    <row r="28" spans="1:6" s="678" customFormat="1" ht="12" customHeight="1">
      <c r="A28" s="684" t="s">
        <v>262</v>
      </c>
      <c r="B28" s="685" t="s">
        <v>400</v>
      </c>
      <c r="C28" s="675"/>
      <c r="D28" s="675"/>
      <c r="E28" s="675"/>
      <c r="F28" s="675"/>
    </row>
    <row r="29" spans="1:6" s="678" customFormat="1" ht="12" customHeight="1">
      <c r="A29" s="684" t="s">
        <v>263</v>
      </c>
      <c r="B29" s="687" t="s">
        <v>403</v>
      </c>
      <c r="C29" s="675"/>
      <c r="D29" s="675"/>
      <c r="E29" s="675"/>
      <c r="F29" s="675"/>
    </row>
    <row r="30" spans="1:6" s="678" customFormat="1" ht="12" customHeight="1" thickBot="1">
      <c r="A30" s="673" t="s">
        <v>264</v>
      </c>
      <c r="B30" s="688" t="s">
        <v>516</v>
      </c>
      <c r="C30" s="689"/>
      <c r="D30" s="689"/>
      <c r="E30" s="689"/>
      <c r="F30" s="689"/>
    </row>
    <row r="31" spans="1:6" s="678" customFormat="1" ht="12" customHeight="1" thickBot="1">
      <c r="A31" s="681" t="s">
        <v>20</v>
      </c>
      <c r="B31" s="682" t="s">
        <v>404</v>
      </c>
      <c r="C31" s="668">
        <f>+C32+C33+C34</f>
        <v>0</v>
      </c>
      <c r="D31" s="668">
        <f>+D32+D33+D34</f>
        <v>0</v>
      </c>
      <c r="E31" s="668">
        <f>+E32+E33+E34</f>
        <v>0</v>
      </c>
      <c r="F31" s="668">
        <f>+F32+F33+F34</f>
        <v>0</v>
      </c>
    </row>
    <row r="32" spans="1:6" s="678" customFormat="1" ht="12" customHeight="1">
      <c r="A32" s="684" t="s">
        <v>88</v>
      </c>
      <c r="B32" s="685" t="s">
        <v>286</v>
      </c>
      <c r="C32" s="686"/>
      <c r="D32" s="686"/>
      <c r="E32" s="686"/>
      <c r="F32" s="686"/>
    </row>
    <row r="33" spans="1:6" s="678" customFormat="1" ht="12" customHeight="1">
      <c r="A33" s="684" t="s">
        <v>89</v>
      </c>
      <c r="B33" s="687" t="s">
        <v>287</v>
      </c>
      <c r="C33" s="690"/>
      <c r="D33" s="690"/>
      <c r="E33" s="690"/>
      <c r="F33" s="690"/>
    </row>
    <row r="34" spans="1:6" s="678" customFormat="1" ht="12" customHeight="1" thickBot="1">
      <c r="A34" s="673" t="s">
        <v>90</v>
      </c>
      <c r="B34" s="688" t="s">
        <v>288</v>
      </c>
      <c r="C34" s="689"/>
      <c r="D34" s="689"/>
      <c r="E34" s="689"/>
      <c r="F34" s="689"/>
    </row>
    <row r="35" spans="1:6" s="669" customFormat="1" ht="12" customHeight="1" thickBot="1">
      <c r="A35" s="681" t="s">
        <v>21</v>
      </c>
      <c r="B35" s="682" t="s">
        <v>373</v>
      </c>
      <c r="C35" s="683"/>
      <c r="D35" s="683"/>
      <c r="E35" s="683"/>
      <c r="F35" s="683"/>
    </row>
    <row r="36" spans="1:6" s="669" customFormat="1" ht="12" customHeight="1" thickBot="1">
      <c r="A36" s="681" t="s">
        <v>22</v>
      </c>
      <c r="B36" s="682" t="s">
        <v>405</v>
      </c>
      <c r="C36" s="691"/>
      <c r="D36" s="691"/>
      <c r="E36" s="691"/>
      <c r="F36" s="691"/>
    </row>
    <row r="37" spans="1:6" s="669" customFormat="1" ht="12" customHeight="1" thickBot="1">
      <c r="A37" s="660" t="s">
        <v>23</v>
      </c>
      <c r="B37" s="682" t="s">
        <v>406</v>
      </c>
      <c r="C37" s="692">
        <f>+C8+C20+C25+C26+C31+C35+C36</f>
        <v>1985464</v>
      </c>
      <c r="D37" s="692">
        <f>+D8+D20+D25+D26+D31+D35+D36</f>
        <v>2170930</v>
      </c>
      <c r="E37" s="692">
        <f>+E8+E20+E25+E26+E31+E35+E36</f>
        <v>2400930</v>
      </c>
      <c r="F37" s="692">
        <f>+F8+F20+F25+F26+F31+F35+F36</f>
        <v>2615930</v>
      </c>
    </row>
    <row r="38" spans="1:6" s="669" customFormat="1" ht="12" customHeight="1" thickBot="1">
      <c r="A38" s="693" t="s">
        <v>24</v>
      </c>
      <c r="B38" s="682" t="s">
        <v>407</v>
      </c>
      <c r="C38" s="692">
        <f>+C39+C40+C41</f>
        <v>73224600</v>
      </c>
      <c r="D38" s="692">
        <f>+D39+D40+D41</f>
        <v>73219600</v>
      </c>
      <c r="E38" s="692">
        <f>+E39+E40+E41</f>
        <v>74722940</v>
      </c>
      <c r="F38" s="692">
        <f>+F39+F40+F41</f>
        <v>74507940</v>
      </c>
    </row>
    <row r="39" spans="1:6" s="669" customFormat="1" ht="12" customHeight="1">
      <c r="A39" s="684" t="s">
        <v>408</v>
      </c>
      <c r="B39" s="685" t="s">
        <v>229</v>
      </c>
      <c r="C39" s="686">
        <v>3070739</v>
      </c>
      <c r="D39" s="686">
        <f>3070739+945745</f>
        <v>4016484</v>
      </c>
      <c r="E39" s="686">
        <f>3070739+945745</f>
        <v>4016484</v>
      </c>
      <c r="F39" s="686">
        <f>3070739+945745</f>
        <v>4016484</v>
      </c>
    </row>
    <row r="40" spans="1:6" s="669" customFormat="1" ht="12" customHeight="1">
      <c r="A40" s="684" t="s">
        <v>409</v>
      </c>
      <c r="B40" s="687" t="s">
        <v>2</v>
      </c>
      <c r="C40" s="690"/>
      <c r="D40" s="690"/>
      <c r="E40" s="690"/>
      <c r="F40" s="690"/>
    </row>
    <row r="41" spans="1:6" s="678" customFormat="1" ht="12" customHeight="1" thickBot="1">
      <c r="A41" s="673" t="s">
        <v>410</v>
      </c>
      <c r="B41" s="688" t="s">
        <v>411</v>
      </c>
      <c r="C41" s="689">
        <v>70153861</v>
      </c>
      <c r="D41" s="689">
        <f>70153861-945745-5000</f>
        <v>69203116</v>
      </c>
      <c r="E41" s="689">
        <f>70153861-945745-5000+1099400-5000-200000-25000+93940+540000</f>
        <v>70706456</v>
      </c>
      <c r="F41" s="689">
        <f>70706456-215000</f>
        <v>70491456</v>
      </c>
    </row>
    <row r="42" spans="1:6" s="678" customFormat="1" ht="15" customHeight="1" thickBot="1">
      <c r="A42" s="693" t="s">
        <v>25</v>
      </c>
      <c r="B42" s="694" t="s">
        <v>412</v>
      </c>
      <c r="C42" s="695">
        <f>C37+C38</f>
        <v>75210064</v>
      </c>
      <c r="D42" s="695">
        <f>D37+D38</f>
        <v>75390530</v>
      </c>
      <c r="E42" s="695">
        <f>E37+E38</f>
        <v>77123870</v>
      </c>
      <c r="F42" s="695">
        <f>F37+F38</f>
        <v>77123870</v>
      </c>
    </row>
    <row r="43" spans="1:6" s="678" customFormat="1" ht="15" customHeight="1">
      <c r="A43" s="696"/>
      <c r="B43" s="697"/>
      <c r="C43" s="698"/>
      <c r="D43" s="698"/>
      <c r="E43" s="698"/>
      <c r="F43" s="698"/>
    </row>
    <row r="44" spans="1:6" ht="13.5" thickBot="1">
      <c r="A44" s="699"/>
      <c r="B44" s="700"/>
      <c r="C44" s="701"/>
      <c r="D44" s="701"/>
      <c r="E44" s="701"/>
      <c r="F44" s="701"/>
    </row>
    <row r="45" spans="1:6" s="663" customFormat="1" ht="16.5" customHeight="1" thickBot="1">
      <c r="A45" s="702"/>
      <c r="B45" s="703" t="s">
        <v>54</v>
      </c>
      <c r="C45" s="695"/>
      <c r="D45" s="695"/>
      <c r="E45" s="695"/>
      <c r="F45" s="695"/>
    </row>
    <row r="46" spans="1:6" s="704" customFormat="1" ht="12" customHeight="1" thickBot="1">
      <c r="A46" s="681" t="s">
        <v>16</v>
      </c>
      <c r="B46" s="682" t="s">
        <v>413</v>
      </c>
      <c r="C46" s="668">
        <f>SUM(C47:C51)</f>
        <v>74789064</v>
      </c>
      <c r="D46" s="668">
        <f>SUM(D47:D51)</f>
        <v>74969530</v>
      </c>
      <c r="E46" s="668">
        <f>SUM(E47:E51)</f>
        <v>76702870</v>
      </c>
      <c r="F46" s="668">
        <f>SUM(F47:F51)</f>
        <v>76702870</v>
      </c>
    </row>
    <row r="47" spans="1:6" ht="12" customHeight="1">
      <c r="A47" s="673" t="s">
        <v>95</v>
      </c>
      <c r="B47" s="680" t="s">
        <v>46</v>
      </c>
      <c r="C47" s="686">
        <f>42691750+632600</f>
        <v>43324350</v>
      </c>
      <c r="D47" s="686">
        <f>42691750+632600+100000+49059+957</f>
        <v>43474366</v>
      </c>
      <c r="E47" s="686">
        <f>42691750+632600+100000+49059+957+920000+78113+451885</f>
        <v>44924364</v>
      </c>
      <c r="F47" s="686">
        <f>42691750+632600+100000+49059+957+920000+78113+451885</f>
        <v>44924364</v>
      </c>
    </row>
    <row r="48" spans="1:6" ht="12" customHeight="1">
      <c r="A48" s="673" t="s">
        <v>96</v>
      </c>
      <c r="B48" s="674" t="s">
        <v>174</v>
      </c>
      <c r="C48" s="705">
        <f>8852388+115324</f>
        <v>8967712</v>
      </c>
      <c r="D48" s="705">
        <f>8852388+115324+49669-957</f>
        <v>9016424</v>
      </c>
      <c r="E48" s="705">
        <f>8852388+115324+49669-957+179400+15826+1+88115</f>
        <v>9299766</v>
      </c>
      <c r="F48" s="705">
        <f>8852388+115324+49669-957+179400+15826+1+88115</f>
        <v>9299766</v>
      </c>
    </row>
    <row r="49" spans="1:6" ht="12" customHeight="1">
      <c r="A49" s="673" t="s">
        <v>97</v>
      </c>
      <c r="B49" s="674" t="s">
        <v>133</v>
      </c>
      <c r="C49" s="705">
        <f>22445602+51400</f>
        <v>22497002</v>
      </c>
      <c r="D49" s="705">
        <f>22445602+51400+2866-21128</f>
        <v>22478740</v>
      </c>
      <c r="E49" s="705">
        <f>22445602+51400+2866-21128</f>
        <v>22478740</v>
      </c>
      <c r="F49" s="705">
        <f>22445602+51400+2866-21128</f>
        <v>22478740</v>
      </c>
    </row>
    <row r="50" spans="1:6" ht="12" customHeight="1">
      <c r="A50" s="673" t="s">
        <v>98</v>
      </c>
      <c r="B50" s="674" t="s">
        <v>175</v>
      </c>
      <c r="C50" s="705"/>
      <c r="D50" s="705"/>
      <c r="E50" s="705"/>
      <c r="F50" s="705"/>
    </row>
    <row r="51" spans="1:6" ht="12" customHeight="1" thickBot="1">
      <c r="A51" s="673" t="s">
        <v>141</v>
      </c>
      <c r="B51" s="674" t="s">
        <v>176</v>
      </c>
      <c r="C51" s="705"/>
      <c r="D51" s="705"/>
      <c r="E51" s="705"/>
      <c r="F51" s="705"/>
    </row>
    <row r="52" spans="1:6" ht="12" customHeight="1" thickBot="1">
      <c r="A52" s="681" t="s">
        <v>17</v>
      </c>
      <c r="B52" s="682" t="s">
        <v>414</v>
      </c>
      <c r="C52" s="668">
        <f>SUM(C53:C55)</f>
        <v>421000</v>
      </c>
      <c r="D52" s="668">
        <f>SUM(D53:D55)</f>
        <v>421000</v>
      </c>
      <c r="E52" s="668">
        <f>SUM(E53:E55)</f>
        <v>421000</v>
      </c>
      <c r="F52" s="668">
        <f>SUM(F53:F55)</f>
        <v>421000</v>
      </c>
    </row>
    <row r="53" spans="1:6" s="704" customFormat="1" ht="12" customHeight="1">
      <c r="A53" s="673" t="s">
        <v>101</v>
      </c>
      <c r="B53" s="680" t="s">
        <v>219</v>
      </c>
      <c r="C53" s="686">
        <v>421000</v>
      </c>
      <c r="D53" s="686">
        <v>421000</v>
      </c>
      <c r="E53" s="686">
        <v>421000</v>
      </c>
      <c r="F53" s="686">
        <v>421000</v>
      </c>
    </row>
    <row r="54" spans="1:6" ht="12" customHeight="1">
      <c r="A54" s="673" t="s">
        <v>102</v>
      </c>
      <c r="B54" s="674" t="s">
        <v>178</v>
      </c>
      <c r="C54" s="705"/>
      <c r="D54" s="705"/>
      <c r="E54" s="705"/>
      <c r="F54" s="705"/>
    </row>
    <row r="55" spans="1:6" ht="12" customHeight="1">
      <c r="A55" s="673" t="s">
        <v>103</v>
      </c>
      <c r="B55" s="674" t="s">
        <v>55</v>
      </c>
      <c r="C55" s="705"/>
      <c r="D55" s="705"/>
      <c r="E55" s="705"/>
      <c r="F55" s="705"/>
    </row>
    <row r="56" spans="1:6" ht="12" customHeight="1" thickBot="1">
      <c r="A56" s="673" t="s">
        <v>104</v>
      </c>
      <c r="B56" s="674" t="s">
        <v>517</v>
      </c>
      <c r="C56" s="705"/>
      <c r="D56" s="705"/>
      <c r="E56" s="705"/>
      <c r="F56" s="705"/>
    </row>
    <row r="57" spans="1:6" ht="12" customHeight="1" thickBot="1">
      <c r="A57" s="681" t="s">
        <v>18</v>
      </c>
      <c r="B57" s="682" t="s">
        <v>12</v>
      </c>
      <c r="C57" s="683"/>
      <c r="D57" s="683"/>
      <c r="E57" s="683"/>
      <c r="F57" s="683"/>
    </row>
    <row r="58" spans="1:6" ht="15" customHeight="1" thickBot="1">
      <c r="A58" s="681" t="s">
        <v>19</v>
      </c>
      <c r="B58" s="706" t="s">
        <v>522</v>
      </c>
      <c r="C58" s="707">
        <f>+C46+C52+C57</f>
        <v>75210064</v>
      </c>
      <c r="D58" s="707">
        <f>+D46+D52+D57</f>
        <v>75390530</v>
      </c>
      <c r="E58" s="707">
        <f>+E46+E52+E57</f>
        <v>77123870</v>
      </c>
      <c r="F58" s="707">
        <f>+F46+F52+F57</f>
        <v>77123870</v>
      </c>
    </row>
    <row r="59" spans="1:6" ht="13.5" thickBot="1">
      <c r="C59" s="709"/>
      <c r="D59" s="709"/>
      <c r="E59" s="709"/>
      <c r="F59" s="709"/>
    </row>
    <row r="60" spans="1:6" ht="15" customHeight="1" thickBot="1">
      <c r="A60" s="710" t="s">
        <v>512</v>
      </c>
      <c r="B60" s="711"/>
      <c r="C60" s="712">
        <v>11</v>
      </c>
      <c r="D60" s="712">
        <v>11</v>
      </c>
      <c r="E60" s="712">
        <v>11</v>
      </c>
      <c r="F60" s="712">
        <v>11</v>
      </c>
    </row>
    <row r="61" spans="1:6" ht="14.25" customHeight="1" thickBot="1">
      <c r="A61" s="710" t="s">
        <v>196</v>
      </c>
      <c r="B61" s="711"/>
      <c r="C61" s="712"/>
      <c r="D61" s="712"/>
      <c r="E61" s="712"/>
      <c r="F61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landscape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8"/>
  </sheetPr>
  <dimension ref="A1:F61"/>
  <sheetViews>
    <sheetView topLeftCell="B1"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6" width="25" style="659" customWidth="1"/>
    <col min="7" max="16384" width="9.33203125" style="659"/>
  </cols>
  <sheetData>
    <row r="1" spans="1:6" s="645" customFormat="1" ht="21" customHeight="1" thickBot="1">
      <c r="A1" s="643"/>
      <c r="B1" s="644" t="s">
        <v>796</v>
      </c>
      <c r="C1" s="644"/>
      <c r="D1" s="644"/>
      <c r="E1" s="644"/>
      <c r="F1" s="644"/>
    </row>
    <row r="2" spans="1:6" s="649" customFormat="1" ht="34.5" customHeight="1">
      <c r="A2" s="646" t="s">
        <v>194</v>
      </c>
      <c r="B2" s="647" t="s">
        <v>554</v>
      </c>
      <c r="C2" s="648" t="s">
        <v>56</v>
      </c>
      <c r="D2" s="648" t="s">
        <v>56</v>
      </c>
      <c r="E2" s="648" t="s">
        <v>56</v>
      </c>
      <c r="F2" s="648" t="s">
        <v>56</v>
      </c>
    </row>
    <row r="3" spans="1:6" s="649" customFormat="1" ht="24.75" thickBot="1">
      <c r="A3" s="650" t="s">
        <v>193</v>
      </c>
      <c r="B3" s="651" t="s">
        <v>396</v>
      </c>
      <c r="C3" s="652" t="s">
        <v>51</v>
      </c>
      <c r="D3" s="652" t="s">
        <v>51</v>
      </c>
      <c r="E3" s="652" t="s">
        <v>51</v>
      </c>
      <c r="F3" s="652" t="s">
        <v>51</v>
      </c>
    </row>
    <row r="4" spans="1:6" s="655" customFormat="1" ht="15.95" customHeight="1" thickBot="1">
      <c r="A4" s="653"/>
      <c r="B4" s="653"/>
      <c r="C4" s="654" t="s">
        <v>588</v>
      </c>
      <c r="D4" s="654" t="s">
        <v>588</v>
      </c>
      <c r="E4" s="654" t="s">
        <v>588</v>
      </c>
      <c r="F4" s="654" t="s">
        <v>588</v>
      </c>
    </row>
    <row r="5" spans="1:6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780</v>
      </c>
    </row>
    <row r="6" spans="1:6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</row>
    <row r="7" spans="1:6" s="663" customFormat="1" ht="15.95" customHeight="1" thickBot="1">
      <c r="A7" s="664"/>
      <c r="B7" s="665" t="s">
        <v>53</v>
      </c>
      <c r="C7" s="666"/>
      <c r="D7" s="666"/>
      <c r="E7" s="666"/>
      <c r="F7" s="666"/>
    </row>
    <row r="8" spans="1:6" s="669" customFormat="1" ht="12" customHeight="1" thickBot="1">
      <c r="A8" s="660" t="s">
        <v>16</v>
      </c>
      <c r="B8" s="667" t="s">
        <v>513</v>
      </c>
      <c r="C8" s="668">
        <f>SUM(C9:C19)</f>
        <v>425000</v>
      </c>
      <c r="D8" s="668">
        <f>SUM(D9:D19)</f>
        <v>425000</v>
      </c>
      <c r="E8" s="668">
        <f>SUM(E9:E19)</f>
        <v>485000</v>
      </c>
      <c r="F8" s="668">
        <f>SUM(F9:F19)</f>
        <v>500000</v>
      </c>
    </row>
    <row r="9" spans="1:6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</row>
    <row r="10" spans="1:6" s="669" customFormat="1" ht="12" customHeight="1">
      <c r="A10" s="673" t="s">
        <v>96</v>
      </c>
      <c r="B10" s="674" t="s">
        <v>273</v>
      </c>
      <c r="C10" s="675">
        <v>425000</v>
      </c>
      <c r="D10" s="675">
        <v>425000</v>
      </c>
      <c r="E10" s="675">
        <f>425000+60000</f>
        <v>485000</v>
      </c>
      <c r="F10" s="675">
        <f>425000+60000+15000</f>
        <v>500000</v>
      </c>
    </row>
    <row r="11" spans="1:6" s="669" customFormat="1" ht="12" customHeight="1">
      <c r="A11" s="673" t="s">
        <v>97</v>
      </c>
      <c r="B11" s="674" t="s">
        <v>274</v>
      </c>
      <c r="C11" s="675"/>
      <c r="D11" s="675"/>
      <c r="E11" s="675"/>
      <c r="F11" s="675"/>
    </row>
    <row r="12" spans="1:6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</row>
    <row r="13" spans="1:6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</row>
    <row r="14" spans="1:6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</row>
    <row r="15" spans="1:6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</row>
    <row r="16" spans="1:6" s="669" customFormat="1" ht="12" customHeight="1">
      <c r="A16" s="673" t="s">
        <v>110</v>
      </c>
      <c r="B16" s="674" t="s">
        <v>279</v>
      </c>
      <c r="C16" s="677"/>
      <c r="D16" s="677"/>
      <c r="E16" s="677"/>
      <c r="F16" s="677"/>
    </row>
    <row r="17" spans="1:6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</row>
    <row r="18" spans="1:6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</row>
    <row r="19" spans="1:6" s="678" customFormat="1" ht="12" customHeight="1" thickBot="1">
      <c r="A19" s="673" t="s">
        <v>113</v>
      </c>
      <c r="B19" s="676" t="s">
        <v>281</v>
      </c>
      <c r="C19" s="679"/>
      <c r="D19" s="679"/>
      <c r="E19" s="679"/>
      <c r="F19" s="679"/>
    </row>
    <row r="20" spans="1:6" s="669" customFormat="1" ht="12" customHeight="1" thickBot="1">
      <c r="A20" s="660" t="s">
        <v>17</v>
      </c>
      <c r="B20" s="667" t="s">
        <v>399</v>
      </c>
      <c r="C20" s="668">
        <f>SUM(C21:C23)</f>
        <v>453437</v>
      </c>
      <c r="D20" s="668">
        <f>SUM(D21:D23)</f>
        <v>315043</v>
      </c>
      <c r="E20" s="668">
        <f>SUM(E21:E23)</f>
        <v>315043</v>
      </c>
      <c r="F20" s="668">
        <f>SUM(F21:F23)</f>
        <v>315043</v>
      </c>
    </row>
    <row r="21" spans="1:6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</row>
    <row r="22" spans="1:6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</row>
    <row r="23" spans="1:6" s="678" customFormat="1" ht="12" customHeight="1">
      <c r="A23" s="673" t="s">
        <v>103</v>
      </c>
      <c r="B23" s="674" t="s">
        <v>401</v>
      </c>
      <c r="C23" s="675">
        <v>453437</v>
      </c>
      <c r="D23" s="675">
        <f>453437-138394</f>
        <v>315043</v>
      </c>
      <c r="E23" s="675">
        <f>453437-138394</f>
        <v>315043</v>
      </c>
      <c r="F23" s="675">
        <f>453437-138394</f>
        <v>315043</v>
      </c>
    </row>
    <row r="24" spans="1:6" s="678" customFormat="1" ht="12" customHeight="1" thickBot="1">
      <c r="A24" s="673" t="s">
        <v>104</v>
      </c>
      <c r="B24" s="674" t="s">
        <v>514</v>
      </c>
      <c r="C24" s="675"/>
      <c r="D24" s="675"/>
      <c r="E24" s="675"/>
      <c r="F24" s="675"/>
    </row>
    <row r="25" spans="1:6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</row>
    <row r="26" spans="1:6" s="678" customFormat="1" ht="12" customHeight="1" thickBot="1">
      <c r="A26" s="681" t="s">
        <v>19</v>
      </c>
      <c r="B26" s="682" t="s">
        <v>515</v>
      </c>
      <c r="C26" s="668">
        <f>+C27+C28+C29</f>
        <v>0</v>
      </c>
      <c r="D26" s="668">
        <f>+D27+D28+D29</f>
        <v>0</v>
      </c>
      <c r="E26" s="668">
        <f>+E27+E28+E29</f>
        <v>0</v>
      </c>
      <c r="F26" s="668">
        <f>+F27+F28+F29</f>
        <v>0</v>
      </c>
    </row>
    <row r="27" spans="1:6" s="678" customFormat="1" ht="12" customHeight="1">
      <c r="A27" s="684" t="s">
        <v>259</v>
      </c>
      <c r="B27" s="685" t="s">
        <v>254</v>
      </c>
      <c r="C27" s="686"/>
      <c r="D27" s="686"/>
      <c r="E27" s="686"/>
      <c r="F27" s="686"/>
    </row>
    <row r="28" spans="1:6" s="678" customFormat="1" ht="12" customHeight="1">
      <c r="A28" s="684" t="s">
        <v>262</v>
      </c>
      <c r="B28" s="685" t="s">
        <v>400</v>
      </c>
      <c r="C28" s="675"/>
      <c r="D28" s="675"/>
      <c r="E28" s="675"/>
      <c r="F28" s="675"/>
    </row>
    <row r="29" spans="1:6" s="678" customFormat="1" ht="12" customHeight="1">
      <c r="A29" s="684" t="s">
        <v>263</v>
      </c>
      <c r="B29" s="687" t="s">
        <v>403</v>
      </c>
      <c r="C29" s="675"/>
      <c r="D29" s="675"/>
      <c r="E29" s="675"/>
      <c r="F29" s="675"/>
    </row>
    <row r="30" spans="1:6" s="678" customFormat="1" ht="12" customHeight="1" thickBot="1">
      <c r="A30" s="673" t="s">
        <v>264</v>
      </c>
      <c r="B30" s="688" t="s">
        <v>516</v>
      </c>
      <c r="C30" s="689"/>
      <c r="D30" s="689"/>
      <c r="E30" s="689"/>
      <c r="F30" s="689"/>
    </row>
    <row r="31" spans="1:6" s="678" customFormat="1" ht="12" customHeight="1" thickBot="1">
      <c r="A31" s="681" t="s">
        <v>20</v>
      </c>
      <c r="B31" s="682" t="s">
        <v>404</v>
      </c>
      <c r="C31" s="668">
        <f>+C32+C33+C34</f>
        <v>0</v>
      </c>
      <c r="D31" s="668">
        <f>+D32+D33+D34</f>
        <v>0</v>
      </c>
      <c r="E31" s="668">
        <f>+E32+E33+E34</f>
        <v>0</v>
      </c>
      <c r="F31" s="668">
        <f>+F32+F33+F34</f>
        <v>0</v>
      </c>
    </row>
    <row r="32" spans="1:6" s="678" customFormat="1" ht="12" customHeight="1">
      <c r="A32" s="684" t="s">
        <v>88</v>
      </c>
      <c r="B32" s="685" t="s">
        <v>286</v>
      </c>
      <c r="C32" s="686"/>
      <c r="D32" s="686"/>
      <c r="E32" s="686"/>
      <c r="F32" s="686"/>
    </row>
    <row r="33" spans="1:6" s="678" customFormat="1" ht="12" customHeight="1">
      <c r="A33" s="684" t="s">
        <v>89</v>
      </c>
      <c r="B33" s="687" t="s">
        <v>287</v>
      </c>
      <c r="C33" s="690"/>
      <c r="D33" s="690"/>
      <c r="E33" s="690"/>
      <c r="F33" s="690"/>
    </row>
    <row r="34" spans="1:6" s="678" customFormat="1" ht="12" customHeight="1" thickBot="1">
      <c r="A34" s="673" t="s">
        <v>90</v>
      </c>
      <c r="B34" s="688" t="s">
        <v>288</v>
      </c>
      <c r="C34" s="689"/>
      <c r="D34" s="689"/>
      <c r="E34" s="689"/>
      <c r="F34" s="689"/>
    </row>
    <row r="35" spans="1:6" s="669" customFormat="1" ht="12" customHeight="1" thickBot="1">
      <c r="A35" s="681" t="s">
        <v>21</v>
      </c>
      <c r="B35" s="682" t="s">
        <v>373</v>
      </c>
      <c r="C35" s="683"/>
      <c r="D35" s="683"/>
      <c r="E35" s="683"/>
      <c r="F35" s="683"/>
    </row>
    <row r="36" spans="1:6" s="669" customFormat="1" ht="12" customHeight="1" thickBot="1">
      <c r="A36" s="681" t="s">
        <v>22</v>
      </c>
      <c r="B36" s="682" t="s">
        <v>405</v>
      </c>
      <c r="C36" s="691"/>
      <c r="D36" s="691"/>
      <c r="E36" s="691"/>
      <c r="F36" s="691"/>
    </row>
    <row r="37" spans="1:6" s="669" customFormat="1" ht="12" customHeight="1" thickBot="1">
      <c r="A37" s="660" t="s">
        <v>23</v>
      </c>
      <c r="B37" s="682" t="s">
        <v>406</v>
      </c>
      <c r="C37" s="692">
        <f>+C8+C20+C25+C26+C31+C35+C36</f>
        <v>878437</v>
      </c>
      <c r="D37" s="692">
        <f>+D8+D20+D25+D26+D31+D35+D36</f>
        <v>740043</v>
      </c>
      <c r="E37" s="692">
        <f>+E8+E20+E25+E26+E31+E35+E36</f>
        <v>800043</v>
      </c>
      <c r="F37" s="692">
        <f>+F8+F20+F25+F26+F31+F35+F36</f>
        <v>815043</v>
      </c>
    </row>
    <row r="38" spans="1:6" s="669" customFormat="1" ht="12" customHeight="1" thickBot="1">
      <c r="A38" s="693" t="s">
        <v>24</v>
      </c>
      <c r="B38" s="682" t="s">
        <v>407</v>
      </c>
      <c r="C38" s="692">
        <f>+C39+C40+C41</f>
        <v>48022238</v>
      </c>
      <c r="D38" s="692">
        <f>+D39+D40+D41</f>
        <v>48190681</v>
      </c>
      <c r="E38" s="692">
        <f>+E39+E40+E41</f>
        <v>48036741</v>
      </c>
      <c r="F38" s="692">
        <f>+F39+F40+F41</f>
        <v>48021741</v>
      </c>
    </row>
    <row r="39" spans="1:6" s="669" customFormat="1" ht="12" customHeight="1">
      <c r="A39" s="684" t="s">
        <v>408</v>
      </c>
      <c r="B39" s="685" t="s">
        <v>229</v>
      </c>
      <c r="C39" s="686">
        <v>540000</v>
      </c>
      <c r="D39" s="686">
        <v>540000</v>
      </c>
      <c r="E39" s="686">
        <v>540000</v>
      </c>
      <c r="F39" s="686">
        <v>540000</v>
      </c>
    </row>
    <row r="40" spans="1:6" s="669" customFormat="1" ht="12" customHeight="1">
      <c r="A40" s="684" t="s">
        <v>409</v>
      </c>
      <c r="B40" s="687" t="s">
        <v>2</v>
      </c>
      <c r="C40" s="690"/>
      <c r="D40" s="690"/>
      <c r="E40" s="690"/>
      <c r="F40" s="690"/>
    </row>
    <row r="41" spans="1:6" s="678" customFormat="1" ht="12" customHeight="1" thickBot="1">
      <c r="A41" s="673" t="s">
        <v>410</v>
      </c>
      <c r="B41" s="688" t="s">
        <v>411</v>
      </c>
      <c r="C41" s="689">
        <v>47482238</v>
      </c>
      <c r="D41" s="689">
        <f>47482238+168443</f>
        <v>47650681</v>
      </c>
      <c r="E41" s="689">
        <f>47482238+168443-60000-93940</f>
        <v>47496741</v>
      </c>
      <c r="F41" s="689">
        <f>47482238+168443-60000-93940-15000</f>
        <v>47481741</v>
      </c>
    </row>
    <row r="42" spans="1:6" s="678" customFormat="1" ht="15" customHeight="1" thickBot="1">
      <c r="A42" s="693" t="s">
        <v>25</v>
      </c>
      <c r="B42" s="694" t="s">
        <v>412</v>
      </c>
      <c r="C42" s="695">
        <f>+C37+C38</f>
        <v>48900675</v>
      </c>
      <c r="D42" s="695">
        <f>+D37+D38</f>
        <v>48930724</v>
      </c>
      <c r="E42" s="695">
        <f>+E37+E38</f>
        <v>48836784</v>
      </c>
      <c r="F42" s="695">
        <f>+F37+F38</f>
        <v>48836784</v>
      </c>
    </row>
    <row r="43" spans="1:6" s="678" customFormat="1" ht="15" customHeight="1">
      <c r="A43" s="696"/>
      <c r="B43" s="697"/>
      <c r="C43" s="698"/>
      <c r="D43" s="698"/>
      <c r="E43" s="698"/>
      <c r="F43" s="698"/>
    </row>
    <row r="44" spans="1:6" ht="13.5" thickBot="1">
      <c r="A44" s="699"/>
      <c r="B44" s="700"/>
      <c r="C44" s="701"/>
      <c r="D44" s="701"/>
      <c r="E44" s="701"/>
      <c r="F44" s="701"/>
    </row>
    <row r="45" spans="1:6" s="663" customFormat="1" ht="16.5" customHeight="1" thickBot="1">
      <c r="A45" s="702"/>
      <c r="B45" s="703" t="s">
        <v>54</v>
      </c>
      <c r="C45" s="695"/>
      <c r="D45" s="695"/>
      <c r="E45" s="695"/>
      <c r="F45" s="695"/>
    </row>
    <row r="46" spans="1:6" s="704" customFormat="1" ht="12" customHeight="1" thickBot="1">
      <c r="A46" s="681" t="s">
        <v>16</v>
      </c>
      <c r="B46" s="682" t="s">
        <v>413</v>
      </c>
      <c r="C46" s="668">
        <f>SUM(C47:C51)</f>
        <v>48570675</v>
      </c>
      <c r="D46" s="668">
        <f>SUM(D47:D51)</f>
        <v>48600724</v>
      </c>
      <c r="E46" s="668">
        <f>SUM(E47:E51)</f>
        <v>48506784</v>
      </c>
      <c r="F46" s="668">
        <f>SUM(F47:F51)</f>
        <v>48506784</v>
      </c>
    </row>
    <row r="47" spans="1:6" ht="12" customHeight="1">
      <c r="A47" s="673" t="s">
        <v>95</v>
      </c>
      <c r="B47" s="680" t="s">
        <v>46</v>
      </c>
      <c r="C47" s="686">
        <f>35078450+366300</f>
        <v>35444750</v>
      </c>
      <c r="D47" s="686">
        <f>35078450+366300+140700-135000+24868</f>
        <v>35475318</v>
      </c>
      <c r="E47" s="686">
        <f>35078450+366300+140700-135000+24868-78113</f>
        <v>35397205</v>
      </c>
      <c r="F47" s="686">
        <f>35078450+366300+140700-135000+24868-78113</f>
        <v>35397205</v>
      </c>
    </row>
    <row r="48" spans="1:6" ht="12" customHeight="1">
      <c r="A48" s="673" t="s">
        <v>96</v>
      </c>
      <c r="B48" s="674" t="s">
        <v>174</v>
      </c>
      <c r="C48" s="705">
        <f>7138361+66437</f>
        <v>7204798</v>
      </c>
      <c r="D48" s="705">
        <f>7138361+66437+27743-20062</f>
        <v>7212479</v>
      </c>
      <c r="E48" s="705">
        <f>7138361+66437+27743-20062-15826-1</f>
        <v>7196652</v>
      </c>
      <c r="F48" s="705">
        <f>7138361+66437+27743-20062-15826-1</f>
        <v>7196652</v>
      </c>
    </row>
    <row r="49" spans="1:6" ht="12" customHeight="1">
      <c r="A49" s="673" t="s">
        <v>97</v>
      </c>
      <c r="B49" s="674" t="s">
        <v>133</v>
      </c>
      <c r="C49" s="705">
        <f>5900427+20700</f>
        <v>5921127</v>
      </c>
      <c r="D49" s="705">
        <f>5900427+20700-5739-2461</f>
        <v>5912927</v>
      </c>
      <c r="E49" s="705">
        <f>5900427+20700-5739-2461</f>
        <v>5912927</v>
      </c>
      <c r="F49" s="705">
        <f>5900427+20700-5739-2461</f>
        <v>5912927</v>
      </c>
    </row>
    <row r="50" spans="1:6" ht="12" customHeight="1">
      <c r="A50" s="673" t="s">
        <v>98</v>
      </c>
      <c r="B50" s="674" t="s">
        <v>175</v>
      </c>
      <c r="C50" s="705"/>
      <c r="D50" s="705"/>
      <c r="E50" s="705"/>
      <c r="F50" s="705"/>
    </row>
    <row r="51" spans="1:6" ht="12" customHeight="1" thickBot="1">
      <c r="A51" s="673" t="s">
        <v>141</v>
      </c>
      <c r="B51" s="674" t="s">
        <v>176</v>
      </c>
      <c r="C51" s="705"/>
      <c r="D51" s="705"/>
      <c r="E51" s="705"/>
      <c r="F51" s="705"/>
    </row>
    <row r="52" spans="1:6" ht="12" customHeight="1" thickBot="1">
      <c r="A52" s="681" t="s">
        <v>17</v>
      </c>
      <c r="B52" s="682" t="s">
        <v>414</v>
      </c>
      <c r="C52" s="668">
        <f>SUM(C53:C55)</f>
        <v>330000</v>
      </c>
      <c r="D52" s="668">
        <f>SUM(D53:D55)</f>
        <v>330000</v>
      </c>
      <c r="E52" s="668">
        <f>SUM(E53:E55)</f>
        <v>330000</v>
      </c>
      <c r="F52" s="668">
        <f>SUM(F53:F55)</f>
        <v>330000</v>
      </c>
    </row>
    <row r="53" spans="1:6" s="704" customFormat="1" ht="12" customHeight="1">
      <c r="A53" s="673" t="s">
        <v>101</v>
      </c>
      <c r="B53" s="680" t="s">
        <v>219</v>
      </c>
      <c r="C53" s="686">
        <v>330000</v>
      </c>
      <c r="D53" s="686">
        <v>330000</v>
      </c>
      <c r="E53" s="686">
        <v>330000</v>
      </c>
      <c r="F53" s="686">
        <v>330000</v>
      </c>
    </row>
    <row r="54" spans="1:6" ht="12" customHeight="1">
      <c r="A54" s="673" t="s">
        <v>102</v>
      </c>
      <c r="B54" s="674" t="s">
        <v>178</v>
      </c>
      <c r="C54" s="705"/>
      <c r="D54" s="705"/>
      <c r="E54" s="705"/>
      <c r="F54" s="705"/>
    </row>
    <row r="55" spans="1:6" ht="12" customHeight="1">
      <c r="A55" s="673" t="s">
        <v>103</v>
      </c>
      <c r="B55" s="674" t="s">
        <v>55</v>
      </c>
      <c r="C55" s="705"/>
      <c r="D55" s="705"/>
      <c r="E55" s="705"/>
      <c r="F55" s="705"/>
    </row>
    <row r="56" spans="1:6" ht="12" customHeight="1" thickBot="1">
      <c r="A56" s="673" t="s">
        <v>104</v>
      </c>
      <c r="B56" s="674" t="s">
        <v>517</v>
      </c>
      <c r="C56" s="705"/>
      <c r="D56" s="705"/>
      <c r="E56" s="705"/>
      <c r="F56" s="705"/>
    </row>
    <row r="57" spans="1:6" ht="12" customHeight="1" thickBot="1">
      <c r="A57" s="681" t="s">
        <v>18</v>
      </c>
      <c r="B57" s="682" t="s">
        <v>12</v>
      </c>
      <c r="C57" s="683"/>
      <c r="D57" s="683"/>
      <c r="E57" s="683"/>
      <c r="F57" s="683"/>
    </row>
    <row r="58" spans="1:6" ht="15" customHeight="1" thickBot="1">
      <c r="A58" s="681" t="s">
        <v>19</v>
      </c>
      <c r="B58" s="706" t="s">
        <v>522</v>
      </c>
      <c r="C58" s="707">
        <f>+C46+C52+C57</f>
        <v>48900675</v>
      </c>
      <c r="D58" s="707">
        <f>+D46+D52+D57</f>
        <v>48930724</v>
      </c>
      <c r="E58" s="707">
        <f>+E46+E52+E57</f>
        <v>48836784</v>
      </c>
      <c r="F58" s="707">
        <f>+F46+F52+F57</f>
        <v>48836784</v>
      </c>
    </row>
    <row r="59" spans="1:6" ht="13.5" thickBot="1">
      <c r="C59" s="709"/>
      <c r="D59" s="709"/>
      <c r="E59" s="709"/>
      <c r="F59" s="709"/>
    </row>
    <row r="60" spans="1:6" ht="15" customHeight="1" thickBot="1">
      <c r="A60" s="710" t="s">
        <v>512</v>
      </c>
      <c r="B60" s="711"/>
      <c r="C60" s="712">
        <v>8</v>
      </c>
      <c r="D60" s="712">
        <v>8</v>
      </c>
      <c r="E60" s="712">
        <v>8</v>
      </c>
      <c r="F60" s="712">
        <v>8</v>
      </c>
    </row>
    <row r="61" spans="1:6" ht="14.25" customHeight="1" thickBot="1">
      <c r="A61" s="710" t="s">
        <v>196</v>
      </c>
      <c r="B61" s="711"/>
      <c r="C61" s="712"/>
      <c r="D61" s="712"/>
      <c r="E61" s="712"/>
      <c r="F61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landscape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J168"/>
  <sheetViews>
    <sheetView zoomScaleNormal="100" zoomScaleSheetLayoutView="100" workbookViewId="0">
      <selection activeCell="B1" sqref="B1"/>
    </sheetView>
  </sheetViews>
  <sheetFormatPr defaultRowHeight="15.75"/>
  <cols>
    <col min="1" max="1" width="7.1640625" style="36" bestFit="1" customWidth="1"/>
    <col min="2" max="2" width="76.5" style="36" bestFit="1" customWidth="1"/>
    <col min="3" max="9" width="21.33203125" style="111" customWidth="1"/>
    <col min="10" max="10" width="12.5" style="36" bestFit="1" customWidth="1"/>
    <col min="11" max="16384" width="9.33203125" style="36"/>
  </cols>
  <sheetData>
    <row r="1" spans="1:9" s="576" customFormat="1">
      <c r="B1" s="576" t="s">
        <v>786</v>
      </c>
      <c r="C1" s="577"/>
      <c r="D1" s="577"/>
      <c r="E1" s="577"/>
      <c r="F1" s="577"/>
      <c r="G1" s="577"/>
      <c r="H1" s="577"/>
      <c r="I1" s="577"/>
    </row>
    <row r="5" spans="1:9">
      <c r="B5" s="471" t="s">
        <v>689</v>
      </c>
    </row>
    <row r="6" spans="1:9">
      <c r="B6" s="471" t="s">
        <v>688</v>
      </c>
    </row>
    <row r="7" spans="1:9">
      <c r="B7" s="475" t="s">
        <v>691</v>
      </c>
    </row>
    <row r="10" spans="1:9" ht="15.95" customHeight="1">
      <c r="A10" s="735" t="s">
        <v>13</v>
      </c>
      <c r="B10" s="735"/>
      <c r="C10" s="36"/>
      <c r="D10" s="36"/>
      <c r="E10" s="36"/>
      <c r="F10" s="36"/>
      <c r="G10" s="36"/>
      <c r="H10" s="36"/>
      <c r="I10" s="36"/>
    </row>
    <row r="11" spans="1:9" ht="15.95" customHeight="1" thickBot="1">
      <c r="A11" s="734" t="s">
        <v>144</v>
      </c>
      <c r="B11" s="734"/>
      <c r="C11" s="37" t="s">
        <v>588</v>
      </c>
      <c r="D11" s="37" t="s">
        <v>588</v>
      </c>
      <c r="E11" s="37" t="s">
        <v>588</v>
      </c>
      <c r="F11" s="37" t="s">
        <v>588</v>
      </c>
      <c r="G11" s="37" t="s">
        <v>588</v>
      </c>
      <c r="H11" s="37" t="s">
        <v>588</v>
      </c>
      <c r="I11" s="37" t="s">
        <v>588</v>
      </c>
    </row>
    <row r="12" spans="1:9" ht="38.1" customHeight="1" thickBot="1">
      <c r="A12" s="38" t="s">
        <v>66</v>
      </c>
      <c r="B12" s="39" t="s">
        <v>15</v>
      </c>
      <c r="C12" s="9" t="s">
        <v>687</v>
      </c>
      <c r="D12" s="9" t="s">
        <v>738</v>
      </c>
      <c r="E12" s="9" t="s">
        <v>743</v>
      </c>
      <c r="F12" s="9" t="s">
        <v>758</v>
      </c>
      <c r="G12" s="9" t="s">
        <v>760</v>
      </c>
      <c r="H12" s="9" t="s">
        <v>773</v>
      </c>
      <c r="I12" s="9" t="s">
        <v>780</v>
      </c>
    </row>
    <row r="13" spans="1:9" s="43" customFormat="1" ht="12" customHeight="1" thickBot="1">
      <c r="A13" s="40" t="s">
        <v>485</v>
      </c>
      <c r="B13" s="41" t="s">
        <v>486</v>
      </c>
      <c r="C13" s="42" t="s">
        <v>487</v>
      </c>
      <c r="D13" s="42" t="s">
        <v>487</v>
      </c>
      <c r="E13" s="42" t="s">
        <v>487</v>
      </c>
      <c r="F13" s="42" t="s">
        <v>487</v>
      </c>
      <c r="G13" s="42" t="s">
        <v>487</v>
      </c>
      <c r="H13" s="42" t="s">
        <v>487</v>
      </c>
      <c r="I13" s="42" t="s">
        <v>487</v>
      </c>
    </row>
    <row r="14" spans="1:9" s="47" customFormat="1" ht="12" customHeight="1" thickBot="1">
      <c r="A14" s="44" t="s">
        <v>16</v>
      </c>
      <c r="B14" s="45" t="s">
        <v>243</v>
      </c>
      <c r="C14" s="46">
        <f t="shared" ref="C14:H14" si="0">+C15+C16+C17+C18+C19+C20</f>
        <v>218395679</v>
      </c>
      <c r="D14" s="46">
        <f t="shared" si="0"/>
        <v>218917790</v>
      </c>
      <c r="E14" s="46">
        <f t="shared" si="0"/>
        <v>217376765</v>
      </c>
      <c r="F14" s="46">
        <f t="shared" si="0"/>
        <v>239578465</v>
      </c>
      <c r="G14" s="46">
        <f t="shared" si="0"/>
        <v>240984602</v>
      </c>
      <c r="H14" s="46">
        <f t="shared" si="0"/>
        <v>248091282</v>
      </c>
      <c r="I14" s="46">
        <f>+I15+I16+I17+I18+I19+I20</f>
        <v>249841722</v>
      </c>
    </row>
    <row r="15" spans="1:9" s="47" customFormat="1" ht="12" customHeight="1">
      <c r="A15" s="48" t="s">
        <v>95</v>
      </c>
      <c r="B15" s="49" t="s">
        <v>244</v>
      </c>
      <c r="C15" s="50">
        <v>117822978</v>
      </c>
      <c r="D15" s="50">
        <v>117822978</v>
      </c>
      <c r="E15" s="50">
        <v>117822978</v>
      </c>
      <c r="F15" s="50">
        <v>117822978</v>
      </c>
      <c r="G15" s="50">
        <v>117822978</v>
      </c>
      <c r="H15" s="50">
        <v>117822978</v>
      </c>
      <c r="I15" s="50">
        <v>117996462</v>
      </c>
    </row>
    <row r="16" spans="1:9" s="47" customFormat="1" ht="12" customHeight="1">
      <c r="A16" s="51" t="s">
        <v>96</v>
      </c>
      <c r="B16" s="52" t="s">
        <v>245</v>
      </c>
      <c r="C16" s="53">
        <v>56900500</v>
      </c>
      <c r="D16" s="53">
        <v>56900500</v>
      </c>
      <c r="E16" s="53">
        <v>54085700</v>
      </c>
      <c r="F16" s="53">
        <v>54085700</v>
      </c>
      <c r="G16" s="53">
        <v>54085700</v>
      </c>
      <c r="H16" s="53">
        <v>57292900</v>
      </c>
      <c r="I16" s="53">
        <v>57292900</v>
      </c>
    </row>
    <row r="17" spans="1:9" s="47" customFormat="1" ht="12" customHeight="1">
      <c r="A17" s="51" t="s">
        <v>97</v>
      </c>
      <c r="B17" s="52" t="s">
        <v>246</v>
      </c>
      <c r="C17" s="53">
        <v>40194081</v>
      </c>
      <c r="D17" s="53">
        <v>40194081</v>
      </c>
      <c r="E17" s="53">
        <v>40042081</v>
      </c>
      <c r="F17" s="53">
        <v>40042081</v>
      </c>
      <c r="G17" s="53">
        <v>40042081</v>
      </c>
      <c r="H17" s="53">
        <v>40233721</v>
      </c>
      <c r="I17" s="53">
        <v>40752031</v>
      </c>
    </row>
    <row r="18" spans="1:9" s="47" customFormat="1" ht="12" customHeight="1">
      <c r="A18" s="51" t="s">
        <v>98</v>
      </c>
      <c r="B18" s="52" t="s">
        <v>247</v>
      </c>
      <c r="C18" s="53">
        <v>3063720</v>
      </c>
      <c r="D18" s="53">
        <f>3063720+280587</f>
        <v>3344307</v>
      </c>
      <c r="E18" s="53">
        <v>3942952</v>
      </c>
      <c r="F18" s="53">
        <v>3942952</v>
      </c>
      <c r="G18" s="53">
        <v>4224018</v>
      </c>
      <c r="H18" s="53">
        <f>4542651</f>
        <v>4542651</v>
      </c>
      <c r="I18" s="53">
        <v>4635145</v>
      </c>
    </row>
    <row r="19" spans="1:9" s="47" customFormat="1" ht="12" customHeight="1">
      <c r="A19" s="51" t="s">
        <v>141</v>
      </c>
      <c r="B19" s="54" t="s">
        <v>428</v>
      </c>
      <c r="C19" s="53">
        <v>414400</v>
      </c>
      <c r="D19" s="53">
        <f>414400+241524</f>
        <v>655924</v>
      </c>
      <c r="E19" s="53">
        <v>1483054</v>
      </c>
      <c r="F19" s="53">
        <v>23684754</v>
      </c>
      <c r="G19" s="53">
        <v>24809825</v>
      </c>
      <c r="H19" s="53">
        <v>28199032</v>
      </c>
      <c r="I19" s="53">
        <v>29165184</v>
      </c>
    </row>
    <row r="20" spans="1:9" s="47" customFormat="1" ht="12" customHeight="1" thickBot="1">
      <c r="A20" s="55" t="s">
        <v>99</v>
      </c>
      <c r="B20" s="56" t="s">
        <v>429</v>
      </c>
      <c r="C20" s="53"/>
      <c r="D20" s="53"/>
      <c r="E20" s="53"/>
      <c r="F20" s="53"/>
      <c r="G20" s="53"/>
      <c r="H20" s="53"/>
      <c r="I20" s="53"/>
    </row>
    <row r="21" spans="1:9" s="47" customFormat="1" ht="12" customHeight="1" thickBot="1">
      <c r="A21" s="44" t="s">
        <v>17</v>
      </c>
      <c r="B21" s="57" t="s">
        <v>248</v>
      </c>
      <c r="C21" s="46">
        <f t="shared" ref="C21:H21" si="1">+C22+C23+C24+C25+C26</f>
        <v>75494632</v>
      </c>
      <c r="D21" s="46">
        <f t="shared" si="1"/>
        <v>78433035</v>
      </c>
      <c r="E21" s="46">
        <f t="shared" si="1"/>
        <v>76889152</v>
      </c>
      <c r="F21" s="46">
        <f t="shared" si="1"/>
        <v>57187452</v>
      </c>
      <c r="G21" s="46">
        <f t="shared" si="1"/>
        <v>60918574</v>
      </c>
      <c r="H21" s="46">
        <f t="shared" si="1"/>
        <v>61967710</v>
      </c>
      <c r="I21" s="46">
        <f>+I22+I23+I24+I25+I26</f>
        <v>64453583</v>
      </c>
    </row>
    <row r="22" spans="1:9" s="47" customFormat="1" ht="12" customHeight="1">
      <c r="A22" s="48" t="s">
        <v>101</v>
      </c>
      <c r="B22" s="49" t="s">
        <v>249</v>
      </c>
      <c r="C22" s="50"/>
      <c r="D22" s="50"/>
      <c r="E22" s="50"/>
      <c r="F22" s="50"/>
      <c r="G22" s="50"/>
      <c r="H22" s="50"/>
      <c r="I22" s="50"/>
    </row>
    <row r="23" spans="1:9" s="47" customFormat="1" ht="12" customHeight="1">
      <c r="A23" s="51" t="s">
        <v>102</v>
      </c>
      <c r="B23" s="52" t="s">
        <v>250</v>
      </c>
      <c r="C23" s="53"/>
      <c r="D23" s="53"/>
      <c r="E23" s="53"/>
      <c r="F23" s="53"/>
      <c r="G23" s="53"/>
      <c r="H23" s="53"/>
      <c r="I23" s="53"/>
    </row>
    <row r="24" spans="1:9" s="47" customFormat="1" ht="12" customHeight="1">
      <c r="A24" s="51" t="s">
        <v>103</v>
      </c>
      <c r="B24" s="52" t="s">
        <v>418</v>
      </c>
      <c r="C24" s="53"/>
      <c r="D24" s="53"/>
      <c r="E24" s="53"/>
      <c r="F24" s="53"/>
      <c r="G24" s="53"/>
      <c r="H24" s="53"/>
      <c r="I24" s="53"/>
    </row>
    <row r="25" spans="1:9" s="47" customFormat="1" ht="12" customHeight="1">
      <c r="A25" s="51" t="s">
        <v>104</v>
      </c>
      <c r="B25" s="52" t="s">
        <v>419</v>
      </c>
      <c r="C25" s="53"/>
      <c r="D25" s="53"/>
      <c r="E25" s="53"/>
      <c r="F25" s="53"/>
      <c r="G25" s="53"/>
      <c r="H25" s="53"/>
      <c r="I25" s="53"/>
    </row>
    <row r="26" spans="1:9" s="47" customFormat="1" ht="12" customHeight="1">
      <c r="A26" s="51" t="s">
        <v>105</v>
      </c>
      <c r="B26" s="52" t="s">
        <v>251</v>
      </c>
      <c r="C26" s="53">
        <f>73241871+1252761+1000000</f>
        <v>75494632</v>
      </c>
      <c r="D26" s="53">
        <f>76180274+1252761+1000000</f>
        <v>78433035</v>
      </c>
      <c r="E26" s="53">
        <f>74594319+1000000+1294833</f>
        <v>76889152</v>
      </c>
      <c r="F26" s="53">
        <f>54892619+1000000+1294833</f>
        <v>57187452</v>
      </c>
      <c r="G26" s="53">
        <f>57452379+2171362+1294833</f>
        <v>60918574</v>
      </c>
      <c r="H26" s="53">
        <f>58501515+2171362+1294833</f>
        <v>61967710</v>
      </c>
      <c r="I26" s="53">
        <f>60987388+2171362+1294833</f>
        <v>64453583</v>
      </c>
    </row>
    <row r="27" spans="1:9" s="47" customFormat="1" ht="12" customHeight="1" thickBot="1">
      <c r="A27" s="55" t="s">
        <v>114</v>
      </c>
      <c r="B27" s="56" t="s">
        <v>252</v>
      </c>
      <c r="C27" s="58"/>
      <c r="D27" s="58"/>
      <c r="E27" s="58"/>
      <c r="F27" s="58"/>
      <c r="G27" s="58"/>
      <c r="H27" s="58"/>
      <c r="I27" s="58"/>
    </row>
    <row r="28" spans="1:9" s="47" customFormat="1" ht="12" customHeight="1" thickBot="1">
      <c r="A28" s="44" t="s">
        <v>18</v>
      </c>
      <c r="B28" s="45" t="s">
        <v>253</v>
      </c>
      <c r="C28" s="46">
        <f t="shared" ref="C28:H28" si="2">+C29+C30+C31+C32+C33</f>
        <v>55972518</v>
      </c>
      <c r="D28" s="46">
        <f t="shared" si="2"/>
        <v>55972518</v>
      </c>
      <c r="E28" s="46">
        <f t="shared" si="2"/>
        <v>66275833</v>
      </c>
      <c r="F28" s="46">
        <f t="shared" si="2"/>
        <v>66275833</v>
      </c>
      <c r="G28" s="46">
        <f t="shared" si="2"/>
        <v>66275833</v>
      </c>
      <c r="H28" s="46">
        <f t="shared" si="2"/>
        <v>66782561</v>
      </c>
      <c r="I28" s="46">
        <f>+I29+I30+I31+I32+I33</f>
        <v>64296688</v>
      </c>
    </row>
    <row r="29" spans="1:9" s="47" customFormat="1" ht="12" customHeight="1">
      <c r="A29" s="48" t="s">
        <v>84</v>
      </c>
      <c r="B29" s="49" t="s">
        <v>254</v>
      </c>
      <c r="C29" s="50"/>
      <c r="D29" s="50"/>
      <c r="E29" s="50"/>
      <c r="F29" s="50"/>
      <c r="G29" s="50"/>
      <c r="H29" s="50">
        <f>506728</f>
        <v>506728</v>
      </c>
      <c r="I29" s="50">
        <f>506728</f>
        <v>506728</v>
      </c>
    </row>
    <row r="30" spans="1:9" s="47" customFormat="1" ht="12" customHeight="1">
      <c r="A30" s="51" t="s">
        <v>85</v>
      </c>
      <c r="B30" s="52" t="s">
        <v>255</v>
      </c>
      <c r="C30" s="53"/>
      <c r="D30" s="53"/>
      <c r="E30" s="53"/>
      <c r="F30" s="53"/>
      <c r="G30" s="53"/>
      <c r="H30" s="53"/>
      <c r="I30" s="53"/>
    </row>
    <row r="31" spans="1:9" s="47" customFormat="1" ht="12" customHeight="1">
      <c r="A31" s="51" t="s">
        <v>86</v>
      </c>
      <c r="B31" s="52" t="s">
        <v>420</v>
      </c>
      <c r="C31" s="53"/>
      <c r="D31" s="53"/>
      <c r="E31" s="53"/>
      <c r="F31" s="53"/>
      <c r="G31" s="53"/>
      <c r="H31" s="53"/>
      <c r="I31" s="53"/>
    </row>
    <row r="32" spans="1:9" s="47" customFormat="1" ht="12" customHeight="1">
      <c r="A32" s="51" t="s">
        <v>87</v>
      </c>
      <c r="B32" s="52" t="s">
        <v>421</v>
      </c>
      <c r="C32" s="53"/>
      <c r="D32" s="53"/>
      <c r="E32" s="53"/>
      <c r="F32" s="53"/>
      <c r="G32" s="53"/>
      <c r="H32" s="53"/>
      <c r="I32" s="53"/>
    </row>
    <row r="33" spans="1:9" s="47" customFormat="1" ht="12" customHeight="1">
      <c r="A33" s="51" t="s">
        <v>162</v>
      </c>
      <c r="B33" s="52" t="s">
        <v>256</v>
      </c>
      <c r="C33" s="53">
        <v>55972518</v>
      </c>
      <c r="D33" s="53">
        <v>55972518</v>
      </c>
      <c r="E33" s="53">
        <f>66275833</f>
        <v>66275833</v>
      </c>
      <c r="F33" s="53">
        <f>66275833</f>
        <v>66275833</v>
      </c>
      <c r="G33" s="53">
        <f>66275833</f>
        <v>66275833</v>
      </c>
      <c r="H33" s="53">
        <f>66275833</f>
        <v>66275833</v>
      </c>
      <c r="I33" s="53">
        <f>63789960</f>
        <v>63789960</v>
      </c>
    </row>
    <row r="34" spans="1:9" s="47" customFormat="1" ht="12" customHeight="1" thickBot="1">
      <c r="A34" s="55" t="s">
        <v>163</v>
      </c>
      <c r="B34" s="59" t="s">
        <v>257</v>
      </c>
      <c r="C34" s="58"/>
      <c r="D34" s="58"/>
      <c r="E34" s="58"/>
      <c r="F34" s="58"/>
      <c r="G34" s="58"/>
      <c r="H34" s="58"/>
      <c r="I34" s="58"/>
    </row>
    <row r="35" spans="1:9" s="47" customFormat="1" ht="12" customHeight="1" thickBot="1">
      <c r="A35" s="44" t="s">
        <v>164</v>
      </c>
      <c r="B35" s="45" t="s">
        <v>258</v>
      </c>
      <c r="C35" s="60">
        <f t="shared" ref="C35:H35" si="3">+C36+C40+C41+C42</f>
        <v>129930000</v>
      </c>
      <c r="D35" s="60">
        <f t="shared" si="3"/>
        <v>129930000</v>
      </c>
      <c r="E35" s="60">
        <f t="shared" si="3"/>
        <v>129935000</v>
      </c>
      <c r="F35" s="60">
        <f t="shared" si="3"/>
        <v>129935000</v>
      </c>
      <c r="G35" s="60">
        <f t="shared" si="3"/>
        <v>129935000</v>
      </c>
      <c r="H35" s="60">
        <f t="shared" si="3"/>
        <v>147935000</v>
      </c>
      <c r="I35" s="60">
        <f>+I36+I40+I41+I42</f>
        <v>157863000</v>
      </c>
    </row>
    <row r="36" spans="1:9" s="47" customFormat="1" ht="12" customHeight="1">
      <c r="A36" s="48" t="s">
        <v>259</v>
      </c>
      <c r="B36" s="124" t="s">
        <v>435</v>
      </c>
      <c r="C36" s="61">
        <f t="shared" ref="C36:H36" si="4">+C37+C38+C39</f>
        <v>94400000</v>
      </c>
      <c r="D36" s="61">
        <f t="shared" si="4"/>
        <v>94400000</v>
      </c>
      <c r="E36" s="61">
        <f t="shared" si="4"/>
        <v>94400000</v>
      </c>
      <c r="F36" s="61">
        <f t="shared" si="4"/>
        <v>94400000</v>
      </c>
      <c r="G36" s="61">
        <f t="shared" si="4"/>
        <v>94400000</v>
      </c>
      <c r="H36" s="61">
        <f t="shared" si="4"/>
        <v>106400000</v>
      </c>
      <c r="I36" s="61">
        <f>+I37+I38+I39</f>
        <v>114650000</v>
      </c>
    </row>
    <row r="37" spans="1:9" s="47" customFormat="1" ht="12" customHeight="1">
      <c r="A37" s="51" t="s">
        <v>260</v>
      </c>
      <c r="B37" s="125" t="s">
        <v>603</v>
      </c>
      <c r="C37" s="53">
        <v>56400000</v>
      </c>
      <c r="D37" s="53">
        <v>56400000</v>
      </c>
      <c r="E37" s="53">
        <v>56400000</v>
      </c>
      <c r="F37" s="53">
        <v>56400000</v>
      </c>
      <c r="G37" s="53">
        <v>56400000</v>
      </c>
      <c r="H37" s="53">
        <v>61400000</v>
      </c>
      <c r="I37" s="53">
        <f>61400000+500000</f>
        <v>61900000</v>
      </c>
    </row>
    <row r="38" spans="1:9" s="47" customFormat="1" ht="12" customHeight="1">
      <c r="A38" s="51" t="s">
        <v>261</v>
      </c>
      <c r="B38" s="125" t="s">
        <v>604</v>
      </c>
      <c r="C38" s="53"/>
      <c r="D38" s="53"/>
      <c r="E38" s="53"/>
      <c r="F38" s="53"/>
      <c r="G38" s="53"/>
      <c r="H38" s="53"/>
      <c r="I38" s="53"/>
    </row>
    <row r="39" spans="1:9" s="47" customFormat="1" ht="12" customHeight="1">
      <c r="A39" s="51" t="s">
        <v>433</v>
      </c>
      <c r="B39" s="126" t="s">
        <v>434</v>
      </c>
      <c r="C39" s="53">
        <v>38000000</v>
      </c>
      <c r="D39" s="53">
        <v>38000000</v>
      </c>
      <c r="E39" s="53">
        <v>38000000</v>
      </c>
      <c r="F39" s="53">
        <v>38000000</v>
      </c>
      <c r="G39" s="53">
        <v>38000000</v>
      </c>
      <c r="H39" s="53">
        <v>45000000</v>
      </c>
      <c r="I39" s="53">
        <f>50000000+250000+2500000</f>
        <v>52750000</v>
      </c>
    </row>
    <row r="40" spans="1:9" s="47" customFormat="1" ht="12" customHeight="1">
      <c r="A40" s="51" t="s">
        <v>262</v>
      </c>
      <c r="B40" s="125" t="s">
        <v>267</v>
      </c>
      <c r="C40" s="53">
        <v>7400000</v>
      </c>
      <c r="D40" s="53">
        <v>7400000</v>
      </c>
      <c r="E40" s="53">
        <v>7400000</v>
      </c>
      <c r="F40" s="53">
        <v>7400000</v>
      </c>
      <c r="G40" s="53">
        <v>7400000</v>
      </c>
      <c r="H40" s="53">
        <v>10400000</v>
      </c>
      <c r="I40" s="53">
        <f>10400000+500000</f>
        <v>10900000</v>
      </c>
    </row>
    <row r="41" spans="1:9" s="47" customFormat="1" ht="12" customHeight="1">
      <c r="A41" s="51" t="s">
        <v>263</v>
      </c>
      <c r="B41" s="125" t="s">
        <v>581</v>
      </c>
      <c r="C41" s="53">
        <v>27500000</v>
      </c>
      <c r="D41" s="53">
        <v>27500000</v>
      </c>
      <c r="E41" s="53">
        <v>27500000</v>
      </c>
      <c r="F41" s="53">
        <v>27500000</v>
      </c>
      <c r="G41" s="53">
        <v>27500000</v>
      </c>
      <c r="H41" s="53">
        <v>30000000</v>
      </c>
      <c r="I41" s="53">
        <f>30410000+420000</f>
        <v>30830000</v>
      </c>
    </row>
    <row r="42" spans="1:9" s="47" customFormat="1" ht="12" customHeight="1" thickBot="1">
      <c r="A42" s="55" t="s">
        <v>264</v>
      </c>
      <c r="B42" s="127" t="s">
        <v>269</v>
      </c>
      <c r="C42" s="58">
        <v>630000</v>
      </c>
      <c r="D42" s="58">
        <v>630000</v>
      </c>
      <c r="E42" s="58">
        <f>630000+5000</f>
        <v>635000</v>
      </c>
      <c r="F42" s="58">
        <f>630000+5000</f>
        <v>635000</v>
      </c>
      <c r="G42" s="58">
        <f>630000+5000</f>
        <v>635000</v>
      </c>
      <c r="H42" s="58">
        <f>1130000+5000</f>
        <v>1135000</v>
      </c>
      <c r="I42" s="58">
        <f>1218000+5000+50000+210000</f>
        <v>1483000</v>
      </c>
    </row>
    <row r="43" spans="1:9" s="47" customFormat="1" ht="12" customHeight="1" thickBot="1">
      <c r="A43" s="44" t="s">
        <v>20</v>
      </c>
      <c r="B43" s="45" t="s">
        <v>430</v>
      </c>
      <c r="C43" s="46">
        <f t="shared" ref="C43:H43" si="5">SUM(C44:C54)</f>
        <v>45238605</v>
      </c>
      <c r="D43" s="46">
        <f t="shared" si="5"/>
        <v>45238605</v>
      </c>
      <c r="E43" s="46">
        <f t="shared" si="5"/>
        <v>36537594</v>
      </c>
      <c r="F43" s="46">
        <f t="shared" si="5"/>
        <v>36537594</v>
      </c>
      <c r="G43" s="46">
        <f t="shared" si="5"/>
        <v>56694762</v>
      </c>
      <c r="H43" s="46">
        <f t="shared" si="5"/>
        <v>60758652</v>
      </c>
      <c r="I43" s="46">
        <f>SUM(I44:I54)</f>
        <v>64089652</v>
      </c>
    </row>
    <row r="44" spans="1:9" s="47" customFormat="1" ht="12" customHeight="1">
      <c r="A44" s="48" t="s">
        <v>88</v>
      </c>
      <c r="B44" s="49" t="s">
        <v>272</v>
      </c>
      <c r="C44" s="50"/>
      <c r="D44" s="50"/>
      <c r="E44" s="50"/>
      <c r="F44" s="50"/>
      <c r="G44" s="50"/>
      <c r="H44" s="50"/>
      <c r="I44" s="50"/>
    </row>
    <row r="45" spans="1:9" s="47" customFormat="1" ht="12" customHeight="1">
      <c r="A45" s="51" t="s">
        <v>89</v>
      </c>
      <c r="B45" s="52" t="s">
        <v>273</v>
      </c>
      <c r="C45" s="53">
        <f>94800709-79573589+1050000+2120000</f>
        <v>18397120</v>
      </c>
      <c r="D45" s="53">
        <f>94800709-79573589+1050000+2120000</f>
        <v>18397120</v>
      </c>
      <c r="E45" s="53">
        <f>8295754+2120000+1050000</f>
        <v>11465754</v>
      </c>
      <c r="F45" s="53">
        <f>8295754+2120000+1050000</f>
        <v>11465754</v>
      </c>
      <c r="G45" s="53">
        <f>27482922+2720000+1115000</f>
        <v>31317922</v>
      </c>
      <c r="H45" s="53">
        <f>31031812+2720000+1195000</f>
        <v>34946812</v>
      </c>
      <c r="I45" s="53">
        <f>31811812+2745000+1210000+1200000</f>
        <v>36966812</v>
      </c>
    </row>
    <row r="46" spans="1:9" s="47" customFormat="1" ht="12" customHeight="1">
      <c r="A46" s="51" t="s">
        <v>90</v>
      </c>
      <c r="B46" s="52" t="s">
        <v>274</v>
      </c>
      <c r="C46" s="53">
        <f>2400000+560000+400000</f>
        <v>3360000</v>
      </c>
      <c r="D46" s="53">
        <f>2400000+560000+400000</f>
        <v>3360000</v>
      </c>
      <c r="E46" s="53">
        <f>2400000+400000+560000</f>
        <v>3360000</v>
      </c>
      <c r="F46" s="53">
        <f>2400000+400000+560000</f>
        <v>3360000</v>
      </c>
      <c r="G46" s="53">
        <f>2400000+400000+760000</f>
        <v>3560000</v>
      </c>
      <c r="H46" s="53">
        <f>2400000+400000+810000</f>
        <v>3610000</v>
      </c>
      <c r="I46" s="53">
        <f>2440000+400000+895000+200000</f>
        <v>3935000</v>
      </c>
    </row>
    <row r="47" spans="1:9" s="47" customFormat="1" ht="12" customHeight="1">
      <c r="A47" s="51" t="s">
        <v>166</v>
      </c>
      <c r="B47" s="52" t="s">
        <v>275</v>
      </c>
      <c r="C47" s="53"/>
      <c r="D47" s="53"/>
      <c r="E47" s="53"/>
      <c r="F47" s="53"/>
      <c r="G47" s="53"/>
      <c r="H47" s="53"/>
      <c r="I47" s="53"/>
    </row>
    <row r="48" spans="1:9" s="47" customFormat="1" ht="12" customHeight="1">
      <c r="A48" s="51" t="s">
        <v>167</v>
      </c>
      <c r="B48" s="52" t="s">
        <v>276</v>
      </c>
      <c r="C48" s="53">
        <v>1500000</v>
      </c>
      <c r="D48" s="53">
        <v>1500000</v>
      </c>
      <c r="E48" s="53">
        <f>1500000</f>
        <v>1500000</v>
      </c>
      <c r="F48" s="53">
        <f>1500000</f>
        <v>1500000</v>
      </c>
      <c r="G48" s="53">
        <f>1500000</f>
        <v>1500000</v>
      </c>
      <c r="H48" s="53">
        <f>1800000</f>
        <v>1800000</v>
      </c>
      <c r="I48" s="53">
        <f>1835000</f>
        <v>1835000</v>
      </c>
    </row>
    <row r="49" spans="1:9" s="47" customFormat="1" ht="12" customHeight="1">
      <c r="A49" s="51" t="s">
        <v>168</v>
      </c>
      <c r="B49" s="52" t="s">
        <v>277</v>
      </c>
      <c r="C49" s="53">
        <f>26748983-21484869+2282276</f>
        <v>7546390</v>
      </c>
      <c r="D49" s="53">
        <f>26748983-21484869+2282276</f>
        <v>7546390</v>
      </c>
      <c r="E49" s="53">
        <f>5674921</f>
        <v>5674921</v>
      </c>
      <c r="F49" s="53">
        <f>5674921</f>
        <v>5674921</v>
      </c>
      <c r="G49" s="53">
        <f>5674921</f>
        <v>5674921</v>
      </c>
      <c r="H49" s="53">
        <f>5674921</f>
        <v>5674921</v>
      </c>
      <c r="I49" s="53">
        <f>6204921+380000</f>
        <v>6584921</v>
      </c>
    </row>
    <row r="50" spans="1:9" s="47" customFormat="1" ht="12" customHeight="1">
      <c r="A50" s="51" t="s">
        <v>169</v>
      </c>
      <c r="B50" s="52" t="s">
        <v>278</v>
      </c>
      <c r="C50" s="53">
        <v>14000000</v>
      </c>
      <c r="D50" s="53">
        <v>14000000</v>
      </c>
      <c r="E50" s="53">
        <f>14000000</f>
        <v>14000000</v>
      </c>
      <c r="F50" s="53">
        <f>14000000</f>
        <v>14000000</v>
      </c>
      <c r="G50" s="53">
        <f>14000000</f>
        <v>14000000</v>
      </c>
      <c r="H50" s="53">
        <f>14000000</f>
        <v>14000000</v>
      </c>
      <c r="I50" s="53">
        <f>14000000</f>
        <v>14000000</v>
      </c>
    </row>
    <row r="51" spans="1:9" s="47" customFormat="1" ht="12" customHeight="1">
      <c r="A51" s="51" t="s">
        <v>170</v>
      </c>
      <c r="B51" s="52" t="s">
        <v>279</v>
      </c>
      <c r="C51" s="53">
        <f>20000+140+100</f>
        <v>20240</v>
      </c>
      <c r="D51" s="53">
        <f>20000+140+100</f>
        <v>20240</v>
      </c>
      <c r="E51" s="53">
        <f>20000+100+140</f>
        <v>20240</v>
      </c>
      <c r="F51" s="53">
        <f>20000+100+140</f>
        <v>20240</v>
      </c>
      <c r="G51" s="53">
        <f>20000+100+140</f>
        <v>20240</v>
      </c>
      <c r="H51" s="53">
        <f>20000+100+140</f>
        <v>20240</v>
      </c>
      <c r="I51" s="53">
        <f>20000+100+140</f>
        <v>20240</v>
      </c>
    </row>
    <row r="52" spans="1:9" s="47" customFormat="1" ht="12" customHeight="1">
      <c r="A52" s="51" t="s">
        <v>270</v>
      </c>
      <c r="B52" s="52" t="s">
        <v>280</v>
      </c>
      <c r="C52" s="63"/>
      <c r="D52" s="63"/>
      <c r="E52" s="63"/>
      <c r="F52" s="63"/>
      <c r="G52" s="63"/>
      <c r="H52" s="63"/>
      <c r="I52" s="63"/>
    </row>
    <row r="53" spans="1:9" s="47" customFormat="1" ht="12" customHeight="1">
      <c r="A53" s="55" t="s">
        <v>271</v>
      </c>
      <c r="B53" s="59" t="s">
        <v>432</v>
      </c>
      <c r="C53" s="64"/>
      <c r="D53" s="64"/>
      <c r="E53" s="64"/>
      <c r="F53" s="64"/>
      <c r="G53" s="64"/>
      <c r="H53" s="64"/>
      <c r="I53" s="64"/>
    </row>
    <row r="54" spans="1:9" s="47" customFormat="1" ht="12" customHeight="1" thickBot="1">
      <c r="A54" s="55" t="s">
        <v>431</v>
      </c>
      <c r="B54" s="56" t="s">
        <v>281</v>
      </c>
      <c r="C54" s="64">
        <f>412855+1000+1000</f>
        <v>414855</v>
      </c>
      <c r="D54" s="64">
        <f>412855+1000+1000</f>
        <v>414855</v>
      </c>
      <c r="E54" s="64">
        <f>495679+20000+1000</f>
        <v>516679</v>
      </c>
      <c r="F54" s="64">
        <f>495679+20000+1000</f>
        <v>516679</v>
      </c>
      <c r="G54" s="64">
        <f>565679+30000+26000</f>
        <v>621679</v>
      </c>
      <c r="H54" s="64">
        <f>635679+45000+26000</f>
        <v>706679</v>
      </c>
      <c r="I54" s="64">
        <f>676679+45000+26000</f>
        <v>747679</v>
      </c>
    </row>
    <row r="55" spans="1:9" s="47" customFormat="1" ht="12" customHeight="1" thickBot="1">
      <c r="A55" s="44" t="s">
        <v>21</v>
      </c>
      <c r="B55" s="45" t="s">
        <v>282</v>
      </c>
      <c r="C55" s="46">
        <f t="shared" ref="C55:H55" si="6">SUM(C56:C60)</f>
        <v>0</v>
      </c>
      <c r="D55" s="46">
        <f t="shared" si="6"/>
        <v>0</v>
      </c>
      <c r="E55" s="46">
        <f t="shared" si="6"/>
        <v>0</v>
      </c>
      <c r="F55" s="46">
        <f t="shared" si="6"/>
        <v>0</v>
      </c>
      <c r="G55" s="46">
        <f t="shared" si="6"/>
        <v>0</v>
      </c>
      <c r="H55" s="46">
        <f t="shared" si="6"/>
        <v>0</v>
      </c>
      <c r="I55" s="46">
        <f>SUM(I56:I60)</f>
        <v>9574</v>
      </c>
    </row>
    <row r="56" spans="1:9" s="47" customFormat="1" ht="12" customHeight="1">
      <c r="A56" s="48" t="s">
        <v>91</v>
      </c>
      <c r="B56" s="49" t="s">
        <v>286</v>
      </c>
      <c r="C56" s="65"/>
      <c r="D56" s="65"/>
      <c r="E56" s="65"/>
      <c r="F56" s="65"/>
      <c r="G56" s="65"/>
      <c r="H56" s="65"/>
      <c r="I56" s="65"/>
    </row>
    <row r="57" spans="1:9" s="47" customFormat="1" ht="12" customHeight="1">
      <c r="A57" s="51" t="s">
        <v>92</v>
      </c>
      <c r="B57" s="52" t="s">
        <v>287</v>
      </c>
      <c r="C57" s="63"/>
      <c r="D57" s="63"/>
      <c r="E57" s="63"/>
      <c r="F57" s="63"/>
      <c r="G57" s="63"/>
      <c r="H57" s="63"/>
      <c r="I57" s="63"/>
    </row>
    <row r="58" spans="1:9" s="47" customFormat="1" ht="12" customHeight="1">
      <c r="A58" s="51" t="s">
        <v>283</v>
      </c>
      <c r="B58" s="52" t="s">
        <v>288</v>
      </c>
      <c r="C58" s="63"/>
      <c r="D58" s="63"/>
      <c r="E58" s="63"/>
      <c r="F58" s="63"/>
      <c r="G58" s="63"/>
      <c r="H58" s="63"/>
      <c r="I58" s="63"/>
    </row>
    <row r="59" spans="1:9" s="47" customFormat="1" ht="12" customHeight="1">
      <c r="A59" s="51" t="s">
        <v>284</v>
      </c>
      <c r="B59" s="52" t="s">
        <v>289</v>
      </c>
      <c r="C59" s="63"/>
      <c r="D59" s="63"/>
      <c r="E59" s="63"/>
      <c r="F59" s="63"/>
      <c r="G59" s="63"/>
      <c r="H59" s="63"/>
      <c r="I59" s="63">
        <v>9574</v>
      </c>
    </row>
    <row r="60" spans="1:9" s="47" customFormat="1" ht="12" customHeight="1" thickBot="1">
      <c r="A60" s="55" t="s">
        <v>285</v>
      </c>
      <c r="B60" s="56" t="s">
        <v>290</v>
      </c>
      <c r="C60" s="64"/>
      <c r="D60" s="64"/>
      <c r="E60" s="64"/>
      <c r="F60" s="64"/>
      <c r="G60" s="64"/>
      <c r="H60" s="64"/>
      <c r="I60" s="64"/>
    </row>
    <row r="61" spans="1:9" s="47" customFormat="1" ht="12" customHeight="1" thickBot="1">
      <c r="A61" s="44" t="s">
        <v>171</v>
      </c>
      <c r="B61" s="45" t="s">
        <v>291</v>
      </c>
      <c r="C61" s="46">
        <f t="shared" ref="C61:H61" si="7">SUM(C62:C64)</f>
        <v>0</v>
      </c>
      <c r="D61" s="46">
        <f t="shared" si="7"/>
        <v>0</v>
      </c>
      <c r="E61" s="46">
        <f t="shared" si="7"/>
        <v>0</v>
      </c>
      <c r="F61" s="46">
        <f t="shared" si="7"/>
        <v>0</v>
      </c>
      <c r="G61" s="46">
        <f t="shared" si="7"/>
        <v>0</v>
      </c>
      <c r="H61" s="46">
        <f t="shared" si="7"/>
        <v>0</v>
      </c>
      <c r="I61" s="46">
        <f>SUM(I62:I64)</f>
        <v>0</v>
      </c>
    </row>
    <row r="62" spans="1:9" s="47" customFormat="1" ht="12" customHeight="1">
      <c r="A62" s="48" t="s">
        <v>93</v>
      </c>
      <c r="B62" s="49" t="s">
        <v>292</v>
      </c>
      <c r="C62" s="50"/>
      <c r="D62" s="50"/>
      <c r="E62" s="50"/>
      <c r="F62" s="50"/>
      <c r="G62" s="50"/>
      <c r="H62" s="50"/>
      <c r="I62" s="50"/>
    </row>
    <row r="63" spans="1:9" s="47" customFormat="1" ht="12" customHeight="1">
      <c r="A63" s="51" t="s">
        <v>94</v>
      </c>
      <c r="B63" s="52" t="s">
        <v>422</v>
      </c>
      <c r="C63" s="53"/>
      <c r="D63" s="53"/>
      <c r="E63" s="53"/>
      <c r="F63" s="53"/>
      <c r="G63" s="53"/>
      <c r="H63" s="53"/>
      <c r="I63" s="53"/>
    </row>
    <row r="64" spans="1:9" s="47" customFormat="1" ht="12" customHeight="1">
      <c r="A64" s="51" t="s">
        <v>295</v>
      </c>
      <c r="B64" s="52" t="s">
        <v>293</v>
      </c>
      <c r="C64" s="53"/>
      <c r="D64" s="53"/>
      <c r="E64" s="53"/>
      <c r="F64" s="53"/>
      <c r="G64" s="53"/>
      <c r="H64" s="53"/>
      <c r="I64" s="53"/>
    </row>
    <row r="65" spans="1:9" s="47" customFormat="1" ht="12" customHeight="1" thickBot="1">
      <c r="A65" s="55" t="s">
        <v>296</v>
      </c>
      <c r="B65" s="56" t="s">
        <v>294</v>
      </c>
      <c r="C65" s="58"/>
      <c r="D65" s="58"/>
      <c r="E65" s="58"/>
      <c r="F65" s="58"/>
      <c r="G65" s="58"/>
      <c r="H65" s="58"/>
      <c r="I65" s="58"/>
    </row>
    <row r="66" spans="1:9" s="47" customFormat="1" ht="12" customHeight="1" thickBot="1">
      <c r="A66" s="44" t="s">
        <v>23</v>
      </c>
      <c r="B66" s="57" t="s">
        <v>297</v>
      </c>
      <c r="C66" s="46">
        <f t="shared" ref="C66:H66" si="8">SUM(C67:C69)</f>
        <v>120000</v>
      </c>
      <c r="D66" s="46">
        <f t="shared" si="8"/>
        <v>120000</v>
      </c>
      <c r="E66" s="46">
        <f t="shared" si="8"/>
        <v>120000</v>
      </c>
      <c r="F66" s="46">
        <f t="shared" si="8"/>
        <v>120000</v>
      </c>
      <c r="G66" s="46">
        <f t="shared" si="8"/>
        <v>120000</v>
      </c>
      <c r="H66" s="46">
        <f t="shared" si="8"/>
        <v>120000</v>
      </c>
      <c r="I66" s="46">
        <f>SUM(I67:I69)</f>
        <v>226000</v>
      </c>
    </row>
    <row r="67" spans="1:9" s="47" customFormat="1" ht="12" customHeight="1">
      <c r="A67" s="48" t="s">
        <v>172</v>
      </c>
      <c r="B67" s="49" t="s">
        <v>299</v>
      </c>
      <c r="C67" s="63"/>
      <c r="D67" s="63"/>
      <c r="E67" s="63"/>
      <c r="F67" s="63"/>
      <c r="G67" s="63"/>
      <c r="H67" s="63"/>
      <c r="I67" s="63"/>
    </row>
    <row r="68" spans="1:9" s="47" customFormat="1" ht="12" customHeight="1">
      <c r="A68" s="51" t="s">
        <v>173</v>
      </c>
      <c r="B68" s="52" t="s">
        <v>423</v>
      </c>
      <c r="C68" s="63">
        <v>120000</v>
      </c>
      <c r="D68" s="63">
        <v>120000</v>
      </c>
      <c r="E68" s="63">
        <f>120000</f>
        <v>120000</v>
      </c>
      <c r="F68" s="63">
        <f>120000</f>
        <v>120000</v>
      </c>
      <c r="G68" s="63">
        <f>120000</f>
        <v>120000</v>
      </c>
      <c r="H68" s="63">
        <f>120000</f>
        <v>120000</v>
      </c>
      <c r="I68" s="63">
        <f>120000+106000</f>
        <v>226000</v>
      </c>
    </row>
    <row r="69" spans="1:9" s="47" customFormat="1" ht="12" customHeight="1">
      <c r="A69" s="51" t="s">
        <v>221</v>
      </c>
      <c r="B69" s="52" t="s">
        <v>300</v>
      </c>
      <c r="C69" s="63"/>
      <c r="D69" s="63"/>
      <c r="E69" s="63"/>
      <c r="F69" s="63"/>
      <c r="G69" s="63"/>
      <c r="H69" s="63"/>
      <c r="I69" s="63"/>
    </row>
    <row r="70" spans="1:9" s="47" customFormat="1" ht="12" customHeight="1" thickBot="1">
      <c r="A70" s="55" t="s">
        <v>298</v>
      </c>
      <c r="B70" s="56" t="s">
        <v>301</v>
      </c>
      <c r="C70" s="63"/>
      <c r="D70" s="63"/>
      <c r="E70" s="63"/>
      <c r="F70" s="63"/>
      <c r="G70" s="63"/>
      <c r="H70" s="63"/>
      <c r="I70" s="63"/>
    </row>
    <row r="71" spans="1:9" s="47" customFormat="1" ht="12" customHeight="1" thickBot="1">
      <c r="A71" s="66" t="s">
        <v>474</v>
      </c>
      <c r="B71" s="45" t="s">
        <v>302</v>
      </c>
      <c r="C71" s="60">
        <f t="shared" ref="C71:H71" si="9">+C14+C21+C28+C35+C43+C55+C61+C66</f>
        <v>525151434</v>
      </c>
      <c r="D71" s="60">
        <f t="shared" si="9"/>
        <v>528611948</v>
      </c>
      <c r="E71" s="60">
        <f t="shared" si="9"/>
        <v>527134344</v>
      </c>
      <c r="F71" s="60">
        <f t="shared" si="9"/>
        <v>529634344</v>
      </c>
      <c r="G71" s="60">
        <f t="shared" si="9"/>
        <v>554928771</v>
      </c>
      <c r="H71" s="60">
        <f t="shared" si="9"/>
        <v>585655205</v>
      </c>
      <c r="I71" s="60">
        <f>+I14+I21+I28+I35+I43+I55+I61+I66</f>
        <v>600780219</v>
      </c>
    </row>
    <row r="72" spans="1:9" s="47" customFormat="1" ht="12" customHeight="1" thickBot="1">
      <c r="A72" s="67" t="s">
        <v>303</v>
      </c>
      <c r="B72" s="57" t="s">
        <v>304</v>
      </c>
      <c r="C72" s="46">
        <f t="shared" ref="C72:H72" si="10">SUM(C73:C75)</f>
        <v>0</v>
      </c>
      <c r="D72" s="46">
        <f t="shared" si="10"/>
        <v>0</v>
      </c>
      <c r="E72" s="46">
        <f t="shared" si="10"/>
        <v>0</v>
      </c>
      <c r="F72" s="46">
        <f t="shared" si="10"/>
        <v>0</v>
      </c>
      <c r="G72" s="46">
        <f t="shared" si="10"/>
        <v>0</v>
      </c>
      <c r="H72" s="46">
        <f t="shared" si="10"/>
        <v>0</v>
      </c>
      <c r="I72" s="46">
        <f>SUM(I73:I75)</f>
        <v>0</v>
      </c>
    </row>
    <row r="73" spans="1:9" s="47" customFormat="1" ht="12" customHeight="1">
      <c r="A73" s="48" t="s">
        <v>335</v>
      </c>
      <c r="B73" s="49" t="s">
        <v>305</v>
      </c>
      <c r="C73" s="63"/>
      <c r="D73" s="63"/>
      <c r="E73" s="63"/>
      <c r="F73" s="63"/>
      <c r="G73" s="63"/>
      <c r="H73" s="63"/>
      <c r="I73" s="63"/>
    </row>
    <row r="74" spans="1:9" s="47" customFormat="1" ht="12" customHeight="1">
      <c r="A74" s="51" t="s">
        <v>344</v>
      </c>
      <c r="B74" s="52" t="s">
        <v>306</v>
      </c>
      <c r="C74" s="63"/>
      <c r="D74" s="63"/>
      <c r="E74" s="63"/>
      <c r="F74" s="63"/>
      <c r="G74" s="63"/>
      <c r="H74" s="63"/>
      <c r="I74" s="63"/>
    </row>
    <row r="75" spans="1:9" s="47" customFormat="1" ht="12" customHeight="1" thickBot="1">
      <c r="A75" s="55" t="s">
        <v>345</v>
      </c>
      <c r="B75" s="68" t="s">
        <v>459</v>
      </c>
      <c r="C75" s="63"/>
      <c r="D75" s="63"/>
      <c r="E75" s="63"/>
      <c r="F75" s="63"/>
      <c r="G75" s="63"/>
      <c r="H75" s="63"/>
      <c r="I75" s="63"/>
    </row>
    <row r="76" spans="1:9" s="47" customFormat="1" ht="12" customHeight="1" thickBot="1">
      <c r="A76" s="67" t="s">
        <v>308</v>
      </c>
      <c r="B76" s="57" t="s">
        <v>309</v>
      </c>
      <c r="C76" s="46">
        <f t="shared" ref="C76:H76" si="11">SUM(C77:C80)</f>
        <v>0</v>
      </c>
      <c r="D76" s="46">
        <f t="shared" si="11"/>
        <v>0</v>
      </c>
      <c r="E76" s="46">
        <f t="shared" si="11"/>
        <v>0</v>
      </c>
      <c r="F76" s="46">
        <f t="shared" si="11"/>
        <v>0</v>
      </c>
      <c r="G76" s="46">
        <f t="shared" si="11"/>
        <v>9574</v>
      </c>
      <c r="H76" s="46">
        <f t="shared" si="11"/>
        <v>9574</v>
      </c>
      <c r="I76" s="46">
        <f>SUM(I77:I80)</f>
        <v>0</v>
      </c>
    </row>
    <row r="77" spans="1:9" s="47" customFormat="1" ht="12" customHeight="1">
      <c r="A77" s="48" t="s">
        <v>142</v>
      </c>
      <c r="B77" s="49" t="s">
        <v>310</v>
      </c>
      <c r="C77" s="63"/>
      <c r="D77" s="63"/>
      <c r="E77" s="63"/>
      <c r="F77" s="63"/>
      <c r="G77" s="63"/>
      <c r="H77" s="63"/>
      <c r="I77" s="63"/>
    </row>
    <row r="78" spans="1:9" s="47" customFormat="1" ht="12" customHeight="1">
      <c r="A78" s="51" t="s">
        <v>143</v>
      </c>
      <c r="B78" s="52" t="s">
        <v>311</v>
      </c>
      <c r="C78" s="63"/>
      <c r="D78" s="63"/>
      <c r="E78" s="63"/>
      <c r="F78" s="63"/>
      <c r="G78" s="63"/>
      <c r="H78" s="63"/>
      <c r="I78" s="63"/>
    </row>
    <row r="79" spans="1:9" s="47" customFormat="1" ht="12" customHeight="1">
      <c r="A79" s="51" t="s">
        <v>336</v>
      </c>
      <c r="B79" s="52" t="s">
        <v>312</v>
      </c>
      <c r="C79" s="63"/>
      <c r="D79" s="63"/>
      <c r="E79" s="63"/>
      <c r="F79" s="63"/>
      <c r="G79" s="63">
        <v>9574</v>
      </c>
      <c r="H79" s="63">
        <v>9574</v>
      </c>
      <c r="I79" s="63"/>
    </row>
    <row r="80" spans="1:9" s="47" customFormat="1" ht="12" customHeight="1" thickBot="1">
      <c r="A80" s="55" t="s">
        <v>337</v>
      </c>
      <c r="B80" s="56" t="s">
        <v>313</v>
      </c>
      <c r="C80" s="63"/>
      <c r="D80" s="63"/>
      <c r="E80" s="63"/>
      <c r="F80" s="63"/>
      <c r="G80" s="63"/>
      <c r="H80" s="63"/>
      <c r="I80" s="63"/>
    </row>
    <row r="81" spans="1:9" s="47" customFormat="1" ht="12" customHeight="1" thickBot="1">
      <c r="A81" s="67" t="s">
        <v>314</v>
      </c>
      <c r="B81" s="57" t="s">
        <v>315</v>
      </c>
      <c r="C81" s="46">
        <f t="shared" ref="C81:H81" si="12">SUM(C82:C83)</f>
        <v>609665168</v>
      </c>
      <c r="D81" s="46">
        <f t="shared" si="12"/>
        <v>609665168</v>
      </c>
      <c r="E81" s="46">
        <f t="shared" si="12"/>
        <v>610260913</v>
      </c>
      <c r="F81" s="46">
        <f t="shared" si="12"/>
        <v>610260913</v>
      </c>
      <c r="G81" s="46">
        <f t="shared" si="12"/>
        <v>610260913</v>
      </c>
      <c r="H81" s="46">
        <f t="shared" si="12"/>
        <v>610260913</v>
      </c>
      <c r="I81" s="46">
        <f>SUM(I82:I83)</f>
        <v>610260913</v>
      </c>
    </row>
    <row r="82" spans="1:9" s="47" customFormat="1" ht="12" customHeight="1">
      <c r="A82" s="48" t="s">
        <v>338</v>
      </c>
      <c r="B82" s="49" t="s">
        <v>316</v>
      </c>
      <c r="C82" s="63">
        <f>606054429+3610739</f>
        <v>609665168</v>
      </c>
      <c r="D82" s="63">
        <f>606054429+3610739</f>
        <v>609665168</v>
      </c>
      <c r="E82" s="63">
        <f>605704429+4556484</f>
        <v>610260913</v>
      </c>
      <c r="F82" s="63">
        <f>605704429+4556484</f>
        <v>610260913</v>
      </c>
      <c r="G82" s="63">
        <f>605704429+4556484</f>
        <v>610260913</v>
      </c>
      <c r="H82" s="63">
        <f>605704429+4556484</f>
        <v>610260913</v>
      </c>
      <c r="I82" s="63">
        <f>605704429+4556484</f>
        <v>610260913</v>
      </c>
    </row>
    <row r="83" spans="1:9" s="47" customFormat="1" ht="12" customHeight="1" thickBot="1">
      <c r="A83" s="55" t="s">
        <v>339</v>
      </c>
      <c r="B83" s="56" t="s">
        <v>317</v>
      </c>
      <c r="C83" s="63"/>
      <c r="D83" s="63"/>
      <c r="E83" s="63"/>
      <c r="F83" s="63"/>
      <c r="G83" s="63"/>
      <c r="H83" s="63"/>
      <c r="I83" s="63"/>
    </row>
    <row r="84" spans="1:9" s="47" customFormat="1" ht="12" customHeight="1" thickBot="1">
      <c r="A84" s="67" t="s">
        <v>318</v>
      </c>
      <c r="B84" s="57" t="s">
        <v>319</v>
      </c>
      <c r="C84" s="46">
        <f t="shared" ref="C84:H84" si="13">SUM(C85:C87)</f>
        <v>0</v>
      </c>
      <c r="D84" s="46">
        <f t="shared" si="13"/>
        <v>72564</v>
      </c>
      <c r="E84" s="46">
        <f t="shared" si="13"/>
        <v>72564</v>
      </c>
      <c r="F84" s="46">
        <f t="shared" si="13"/>
        <v>72564</v>
      </c>
      <c r="G84" s="46">
        <f t="shared" si="13"/>
        <v>72564</v>
      </c>
      <c r="H84" s="46">
        <f t="shared" si="13"/>
        <v>72564</v>
      </c>
      <c r="I84" s="46">
        <f>SUM(I85:I87)</f>
        <v>8180284</v>
      </c>
    </row>
    <row r="85" spans="1:9" s="47" customFormat="1" ht="12" customHeight="1">
      <c r="A85" s="48" t="s">
        <v>340</v>
      </c>
      <c r="B85" s="49" t="s">
        <v>320</v>
      </c>
      <c r="C85" s="63"/>
      <c r="D85" s="63">
        <v>72564</v>
      </c>
      <c r="E85" s="63">
        <f>72564</f>
        <v>72564</v>
      </c>
      <c r="F85" s="63">
        <f>72564</f>
        <v>72564</v>
      </c>
      <c r="G85" s="63">
        <f>72564</f>
        <v>72564</v>
      </c>
      <c r="H85" s="63">
        <f>72564</f>
        <v>72564</v>
      </c>
      <c r="I85" s="63">
        <f>8180284</f>
        <v>8180284</v>
      </c>
    </row>
    <row r="86" spans="1:9" s="47" customFormat="1" ht="12" customHeight="1">
      <c r="A86" s="51" t="s">
        <v>341</v>
      </c>
      <c r="B86" s="52" t="s">
        <v>321</v>
      </c>
      <c r="C86" s="63"/>
      <c r="D86" s="63"/>
      <c r="E86" s="63"/>
      <c r="F86" s="63"/>
      <c r="G86" s="63"/>
      <c r="H86" s="63"/>
      <c r="I86" s="63"/>
    </row>
    <row r="87" spans="1:9" s="47" customFormat="1" ht="12" customHeight="1" thickBot="1">
      <c r="A87" s="55" t="s">
        <v>342</v>
      </c>
      <c r="B87" s="56" t="s">
        <v>322</v>
      </c>
      <c r="C87" s="63"/>
      <c r="D87" s="63"/>
      <c r="E87" s="63"/>
      <c r="F87" s="63"/>
      <c r="G87" s="63"/>
      <c r="H87" s="63"/>
      <c r="I87" s="63"/>
    </row>
    <row r="88" spans="1:9" s="47" customFormat="1" ht="12" customHeight="1" thickBot="1">
      <c r="A88" s="67" t="s">
        <v>323</v>
      </c>
      <c r="B88" s="57" t="s">
        <v>343</v>
      </c>
      <c r="C88" s="46">
        <f t="shared" ref="C88:H88" si="14">SUM(C89:C92)</f>
        <v>0</v>
      </c>
      <c r="D88" s="46">
        <f t="shared" si="14"/>
        <v>0</v>
      </c>
      <c r="E88" s="46">
        <f t="shared" si="14"/>
        <v>0</v>
      </c>
      <c r="F88" s="46">
        <f t="shared" si="14"/>
        <v>0</v>
      </c>
      <c r="G88" s="46">
        <f t="shared" si="14"/>
        <v>0</v>
      </c>
      <c r="H88" s="46">
        <f t="shared" si="14"/>
        <v>0</v>
      </c>
      <c r="I88" s="46">
        <f>SUM(I89:I92)</f>
        <v>0</v>
      </c>
    </row>
    <row r="89" spans="1:9" s="47" customFormat="1" ht="12" customHeight="1">
      <c r="A89" s="69" t="s">
        <v>324</v>
      </c>
      <c r="B89" s="49" t="s">
        <v>325</v>
      </c>
      <c r="C89" s="63"/>
      <c r="D89" s="63"/>
      <c r="E89" s="63"/>
      <c r="F89" s="63"/>
      <c r="G89" s="63"/>
      <c r="H89" s="63"/>
      <c r="I89" s="63"/>
    </row>
    <row r="90" spans="1:9" s="47" customFormat="1" ht="12" customHeight="1">
      <c r="A90" s="70" t="s">
        <v>326</v>
      </c>
      <c r="B90" s="52" t="s">
        <v>327</v>
      </c>
      <c r="C90" s="63"/>
      <c r="D90" s="63"/>
      <c r="E90" s="63"/>
      <c r="F90" s="63"/>
      <c r="G90" s="63"/>
      <c r="H90" s="63"/>
      <c r="I90" s="63"/>
    </row>
    <row r="91" spans="1:9" s="47" customFormat="1" ht="12" customHeight="1">
      <c r="A91" s="70" t="s">
        <v>328</v>
      </c>
      <c r="B91" s="52" t="s">
        <v>329</v>
      </c>
      <c r="C91" s="63"/>
      <c r="D91" s="63"/>
      <c r="E91" s="63"/>
      <c r="F91" s="63"/>
      <c r="G91" s="63"/>
      <c r="H91" s="63"/>
      <c r="I91" s="63"/>
    </row>
    <row r="92" spans="1:9" s="47" customFormat="1" ht="12" customHeight="1" thickBot="1">
      <c r="A92" s="71" t="s">
        <v>330</v>
      </c>
      <c r="B92" s="56" t="s">
        <v>331</v>
      </c>
      <c r="C92" s="63"/>
      <c r="D92" s="63"/>
      <c r="E92" s="63"/>
      <c r="F92" s="63"/>
      <c r="G92" s="63"/>
      <c r="H92" s="63"/>
      <c r="I92" s="63"/>
    </row>
    <row r="93" spans="1:9" s="47" customFormat="1" ht="12" customHeight="1" thickBot="1">
      <c r="A93" s="67" t="s">
        <v>332</v>
      </c>
      <c r="B93" s="57" t="s">
        <v>473</v>
      </c>
      <c r="C93" s="72"/>
      <c r="D93" s="72"/>
      <c r="E93" s="72"/>
      <c r="F93" s="72"/>
      <c r="G93" s="72"/>
      <c r="H93" s="72"/>
      <c r="I93" s="72"/>
    </row>
    <row r="94" spans="1:9" s="47" customFormat="1" ht="13.5" customHeight="1" thickBot="1">
      <c r="A94" s="67" t="s">
        <v>334</v>
      </c>
      <c r="B94" s="57" t="s">
        <v>333</v>
      </c>
      <c r="C94" s="72"/>
      <c r="D94" s="72"/>
      <c r="E94" s="72"/>
      <c r="F94" s="72"/>
      <c r="G94" s="72"/>
      <c r="H94" s="72"/>
      <c r="I94" s="72"/>
    </row>
    <row r="95" spans="1:9" s="47" customFormat="1" ht="15.75" customHeight="1" thickBot="1">
      <c r="A95" s="67" t="s">
        <v>346</v>
      </c>
      <c r="B95" s="73" t="s">
        <v>476</v>
      </c>
      <c r="C95" s="60">
        <f t="shared" ref="C95:H95" si="15">+C72+C76+C81+C84+C88+C94+C93</f>
        <v>609665168</v>
      </c>
      <c r="D95" s="60">
        <f t="shared" si="15"/>
        <v>609737732</v>
      </c>
      <c r="E95" s="60">
        <f t="shared" si="15"/>
        <v>610333477</v>
      </c>
      <c r="F95" s="60">
        <f t="shared" si="15"/>
        <v>610333477</v>
      </c>
      <c r="G95" s="60">
        <f t="shared" si="15"/>
        <v>610343051</v>
      </c>
      <c r="H95" s="60">
        <f t="shared" si="15"/>
        <v>610343051</v>
      </c>
      <c r="I95" s="60">
        <f>+I72+I76+I81+I84+I88+I94+I93</f>
        <v>618441197</v>
      </c>
    </row>
    <row r="96" spans="1:9" s="47" customFormat="1" ht="16.5" customHeight="1" thickBot="1">
      <c r="A96" s="74" t="s">
        <v>475</v>
      </c>
      <c r="B96" s="75" t="s">
        <v>477</v>
      </c>
      <c r="C96" s="60">
        <f t="shared" ref="C96:H96" si="16">+C71+C95</f>
        <v>1134816602</v>
      </c>
      <c r="D96" s="60">
        <f t="shared" si="16"/>
        <v>1138349680</v>
      </c>
      <c r="E96" s="60">
        <f t="shared" si="16"/>
        <v>1137467821</v>
      </c>
      <c r="F96" s="60">
        <f t="shared" si="16"/>
        <v>1139967821</v>
      </c>
      <c r="G96" s="60">
        <f t="shared" si="16"/>
        <v>1165271822</v>
      </c>
      <c r="H96" s="60">
        <f t="shared" si="16"/>
        <v>1195998256</v>
      </c>
      <c r="I96" s="60">
        <f>+I71+I95</f>
        <v>1219221416</v>
      </c>
    </row>
    <row r="97" spans="1:9" s="47" customFormat="1" ht="83.25" customHeight="1">
      <c r="A97" s="76"/>
      <c r="B97" s="77"/>
      <c r="C97" s="78"/>
      <c r="D97" s="78"/>
      <c r="E97" s="78"/>
      <c r="F97" s="78"/>
      <c r="G97" s="78"/>
      <c r="H97" s="78"/>
      <c r="I97" s="78"/>
    </row>
    <row r="98" spans="1:9" ht="16.5" customHeight="1">
      <c r="A98" s="735" t="s">
        <v>44</v>
      </c>
      <c r="B98" s="735"/>
      <c r="C98" s="36"/>
      <c r="D98" s="36"/>
      <c r="E98" s="36"/>
      <c r="F98" s="36"/>
      <c r="G98" s="36"/>
      <c r="H98" s="36"/>
      <c r="I98" s="36"/>
    </row>
    <row r="99" spans="1:9" s="80" customFormat="1" ht="16.5" customHeight="1" thickBot="1">
      <c r="A99" s="736" t="s">
        <v>145</v>
      </c>
      <c r="B99" s="736"/>
      <c r="C99" s="79"/>
      <c r="D99" s="79"/>
      <c r="E99" s="79"/>
      <c r="F99" s="79"/>
      <c r="G99" s="79"/>
      <c r="H99" s="79"/>
      <c r="I99" s="79"/>
    </row>
    <row r="100" spans="1:9" ht="38.1" customHeight="1" thickBot="1">
      <c r="A100" s="38" t="s">
        <v>66</v>
      </c>
      <c r="B100" s="39" t="s">
        <v>45</v>
      </c>
      <c r="C100" s="120" t="s">
        <v>687</v>
      </c>
      <c r="D100" s="9" t="s">
        <v>738</v>
      </c>
      <c r="E100" s="9" t="s">
        <v>743</v>
      </c>
      <c r="F100" s="9" t="s">
        <v>758</v>
      </c>
      <c r="G100" s="9" t="s">
        <v>760</v>
      </c>
      <c r="H100" s="9" t="s">
        <v>773</v>
      </c>
      <c r="I100" s="9" t="s">
        <v>773</v>
      </c>
    </row>
    <row r="101" spans="1:9" s="43" customFormat="1" ht="12" customHeight="1" thickBot="1">
      <c r="A101" s="81" t="s">
        <v>485</v>
      </c>
      <c r="B101" s="82" t="s">
        <v>486</v>
      </c>
      <c r="C101" s="83" t="s">
        <v>487</v>
      </c>
      <c r="D101" s="83" t="s">
        <v>487</v>
      </c>
      <c r="E101" s="83" t="s">
        <v>487</v>
      </c>
      <c r="F101" s="83" t="s">
        <v>487</v>
      </c>
      <c r="G101" s="83" t="s">
        <v>487</v>
      </c>
      <c r="H101" s="83" t="s">
        <v>487</v>
      </c>
      <c r="I101" s="83" t="s">
        <v>487</v>
      </c>
    </row>
    <row r="102" spans="1:9" ht="12" customHeight="1" thickBot="1">
      <c r="A102" s="84" t="s">
        <v>16</v>
      </c>
      <c r="B102" s="85" t="s">
        <v>653</v>
      </c>
      <c r="C102" s="86">
        <f t="shared" ref="C102:H102" si="17">C103+C104+C105+C106+C107+C120</f>
        <v>632246845</v>
      </c>
      <c r="D102" s="86">
        <f t="shared" si="17"/>
        <v>636443959</v>
      </c>
      <c r="E102" s="86">
        <f t="shared" si="17"/>
        <v>636860716</v>
      </c>
      <c r="F102" s="86">
        <f t="shared" si="17"/>
        <v>639360716</v>
      </c>
      <c r="G102" s="86">
        <f t="shared" si="17"/>
        <v>664614717</v>
      </c>
      <c r="H102" s="86">
        <f t="shared" si="17"/>
        <v>685841861</v>
      </c>
      <c r="I102" s="86">
        <f>I103+I104+I105+I106+I107+I120</f>
        <v>574939647</v>
      </c>
    </row>
    <row r="103" spans="1:9" ht="12" customHeight="1">
      <c r="A103" s="87" t="s">
        <v>95</v>
      </c>
      <c r="B103" s="17" t="s">
        <v>46</v>
      </c>
      <c r="C103" s="88">
        <f>76128455-13518800+78769100+14125510</f>
        <v>155504265</v>
      </c>
      <c r="D103" s="88">
        <f>76780695-13518800+78769100+14125510</f>
        <v>156156505</v>
      </c>
      <c r="E103" s="88">
        <f>63205944+14644305+78949684</f>
        <v>156799933</v>
      </c>
      <c r="F103" s="88">
        <f>63205944+14644305+78949684</f>
        <v>156799933</v>
      </c>
      <c r="G103" s="88">
        <f>66871089+16611606+80321569</f>
        <v>163804264</v>
      </c>
      <c r="H103" s="88">
        <f>68019489+16611606+80321569</f>
        <v>164952664</v>
      </c>
      <c r="I103" s="88">
        <f>68019489+16611606</f>
        <v>84631095</v>
      </c>
    </row>
    <row r="104" spans="1:9" ht="12" customHeight="1">
      <c r="A104" s="51" t="s">
        <v>96</v>
      </c>
      <c r="B104" s="18" t="s">
        <v>174</v>
      </c>
      <c r="C104" s="53">
        <f>16384694-2792432+16172510+3315011</f>
        <v>33079783</v>
      </c>
      <c r="D104" s="53">
        <f>16448286-2792432+16172510+3315011</f>
        <v>33143375</v>
      </c>
      <c r="E104" s="53">
        <f>13653397+3420746+16228903</f>
        <v>33303046</v>
      </c>
      <c r="F104" s="53">
        <f>13653397+3420746+16228903</f>
        <v>33303046</v>
      </c>
      <c r="G104" s="53">
        <f>14268099+3700307+16496418</f>
        <v>34464824</v>
      </c>
      <c r="H104" s="53">
        <f>14481173+3700307+16496418</f>
        <v>34677898</v>
      </c>
      <c r="I104" s="53">
        <f>14481173+3700307</f>
        <v>18181480</v>
      </c>
    </row>
    <row r="105" spans="1:9" ht="12" customHeight="1">
      <c r="A105" s="51" t="s">
        <v>97</v>
      </c>
      <c r="B105" s="18" t="s">
        <v>133</v>
      </c>
      <c r="C105" s="58">
        <f>213143994-60620950+28418129+27475210</f>
        <v>208416383</v>
      </c>
      <c r="D105" s="58">
        <f>213143994-60620950+28418129+27475210+635000+101600</f>
        <v>209152983</v>
      </c>
      <c r="E105" s="58">
        <f>179403962+27475210+28391667</f>
        <v>235270839</v>
      </c>
      <c r="F105" s="58">
        <f>179403962+27475210+28391667</f>
        <v>235270839</v>
      </c>
      <c r="G105" s="58">
        <f>178732270+28085210+28391667</f>
        <v>235209147</v>
      </c>
      <c r="H105" s="58">
        <f>202872750+28085210+28391667</f>
        <v>259349627</v>
      </c>
      <c r="I105" s="58">
        <f>203698750+28085210</f>
        <v>231783960</v>
      </c>
    </row>
    <row r="106" spans="1:9" ht="12" customHeight="1">
      <c r="A106" s="51" t="s">
        <v>98</v>
      </c>
      <c r="B106" s="89" t="s">
        <v>175</v>
      </c>
      <c r="C106" s="58">
        <f t="shared" ref="C106:H106" si="18">9710000</f>
        <v>9710000</v>
      </c>
      <c r="D106" s="58">
        <f t="shared" si="18"/>
        <v>9710000</v>
      </c>
      <c r="E106" s="58">
        <f t="shared" si="18"/>
        <v>9710000</v>
      </c>
      <c r="F106" s="58">
        <f t="shared" si="18"/>
        <v>9710000</v>
      </c>
      <c r="G106" s="58">
        <f t="shared" si="18"/>
        <v>9710000</v>
      </c>
      <c r="H106" s="58">
        <f t="shared" si="18"/>
        <v>9710000</v>
      </c>
      <c r="I106" s="58">
        <f>9710000</f>
        <v>9710000</v>
      </c>
    </row>
    <row r="107" spans="1:9" ht="12" customHeight="1">
      <c r="A107" s="51" t="s">
        <v>109</v>
      </c>
      <c r="B107" s="90" t="s">
        <v>176</v>
      </c>
      <c r="C107" s="58">
        <f t="shared" ref="C107:H107" si="19">C108+C109+C110+C111+C112+C113+C114+C115+C116+C117+C118+C119</f>
        <v>151918362</v>
      </c>
      <c r="D107" s="58">
        <f t="shared" si="19"/>
        <v>155906226</v>
      </c>
      <c r="E107" s="58">
        <f t="shared" si="19"/>
        <v>156786215</v>
      </c>
      <c r="F107" s="58">
        <f t="shared" si="19"/>
        <v>159286215</v>
      </c>
      <c r="G107" s="58">
        <f t="shared" si="19"/>
        <v>159286215</v>
      </c>
      <c r="H107" s="58">
        <f t="shared" si="19"/>
        <v>163043415</v>
      </c>
      <c r="I107" s="58">
        <f>I108+I109+I110+I111+I112+I113+I114+I115+I116+I117+I118+I119</f>
        <v>162465415</v>
      </c>
    </row>
    <row r="108" spans="1:9" ht="12" customHeight="1">
      <c r="A108" s="51" t="s">
        <v>99</v>
      </c>
      <c r="B108" s="18" t="s">
        <v>440</v>
      </c>
      <c r="C108" s="58"/>
      <c r="D108" s="58"/>
      <c r="E108" s="58"/>
      <c r="F108" s="58"/>
      <c r="G108" s="58"/>
      <c r="H108" s="58"/>
      <c r="I108" s="58"/>
    </row>
    <row r="109" spans="1:9" ht="12" customHeight="1">
      <c r="A109" s="51" t="s">
        <v>100</v>
      </c>
      <c r="B109" s="91" t="s">
        <v>439</v>
      </c>
      <c r="C109" s="58"/>
      <c r="D109" s="58"/>
      <c r="E109" s="58"/>
      <c r="F109" s="58"/>
      <c r="G109" s="58"/>
      <c r="H109" s="58"/>
      <c r="I109" s="58"/>
    </row>
    <row r="110" spans="1:9" ht="12" customHeight="1">
      <c r="A110" s="51" t="s">
        <v>110</v>
      </c>
      <c r="B110" s="91" t="s">
        <v>438</v>
      </c>
      <c r="C110" s="58">
        <f>272642</f>
        <v>272642</v>
      </c>
      <c r="D110" s="58">
        <f>272642</f>
        <v>272642</v>
      </c>
      <c r="E110" s="58">
        <f>272642</f>
        <v>272642</v>
      </c>
      <c r="F110" s="58">
        <f>272642</f>
        <v>272642</v>
      </c>
      <c r="G110" s="58">
        <f>272642</f>
        <v>272642</v>
      </c>
      <c r="H110" s="58">
        <f>672642</f>
        <v>672642</v>
      </c>
      <c r="I110" s="58">
        <f>672642</f>
        <v>672642</v>
      </c>
    </row>
    <row r="111" spans="1:9" ht="12" customHeight="1">
      <c r="A111" s="51" t="s">
        <v>111</v>
      </c>
      <c r="B111" s="92" t="s">
        <v>349</v>
      </c>
      <c r="C111" s="58"/>
      <c r="D111" s="58"/>
      <c r="E111" s="58"/>
      <c r="F111" s="58"/>
      <c r="G111" s="58"/>
      <c r="H111" s="58"/>
      <c r="I111" s="58"/>
    </row>
    <row r="112" spans="1:9" ht="12" customHeight="1">
      <c r="A112" s="51" t="s">
        <v>112</v>
      </c>
      <c r="B112" s="93" t="s">
        <v>350</v>
      </c>
      <c r="C112" s="58"/>
      <c r="D112" s="58"/>
      <c r="E112" s="58"/>
      <c r="F112" s="58"/>
      <c r="G112" s="58"/>
      <c r="H112" s="58"/>
      <c r="I112" s="58"/>
    </row>
    <row r="113" spans="1:10" ht="12" customHeight="1">
      <c r="A113" s="51" t="s">
        <v>113</v>
      </c>
      <c r="B113" s="93" t="s">
        <v>351</v>
      </c>
      <c r="C113" s="58"/>
      <c r="D113" s="58"/>
      <c r="E113" s="58"/>
      <c r="F113" s="58"/>
      <c r="G113" s="58"/>
      <c r="H113" s="58"/>
      <c r="I113" s="58"/>
    </row>
    <row r="114" spans="1:10" ht="12" customHeight="1">
      <c r="A114" s="51" t="s">
        <v>115</v>
      </c>
      <c r="B114" s="92" t="s">
        <v>352</v>
      </c>
      <c r="C114" s="58">
        <f>112674020</f>
        <v>112674020</v>
      </c>
      <c r="D114" s="58">
        <f>112674020+3987864</f>
        <v>116661884</v>
      </c>
      <c r="E114" s="58">
        <f>117511873</f>
        <v>117511873</v>
      </c>
      <c r="F114" s="58">
        <f>117511873</f>
        <v>117511873</v>
      </c>
      <c r="G114" s="58">
        <f>117511873</f>
        <v>117511873</v>
      </c>
      <c r="H114" s="58">
        <f>120819073</f>
        <v>120819073</v>
      </c>
      <c r="I114" s="58">
        <f>120819073-95000</f>
        <v>120724073</v>
      </c>
    </row>
    <row r="115" spans="1:10" ht="12" customHeight="1">
      <c r="A115" s="51" t="s">
        <v>177</v>
      </c>
      <c r="B115" s="92" t="s">
        <v>353</v>
      </c>
      <c r="C115" s="58"/>
      <c r="D115" s="58"/>
      <c r="E115" s="58"/>
      <c r="F115" s="58"/>
      <c r="G115" s="58"/>
      <c r="H115" s="58"/>
      <c r="I115" s="58"/>
    </row>
    <row r="116" spans="1:10" ht="12" customHeight="1">
      <c r="A116" s="51" t="s">
        <v>347</v>
      </c>
      <c r="B116" s="93" t="s">
        <v>354</v>
      </c>
      <c r="C116" s="58"/>
      <c r="D116" s="58"/>
      <c r="E116" s="58"/>
      <c r="F116" s="58"/>
      <c r="G116" s="58"/>
      <c r="H116" s="58"/>
      <c r="I116" s="58"/>
    </row>
    <row r="117" spans="1:10" ht="12" customHeight="1">
      <c r="A117" s="94" t="s">
        <v>348</v>
      </c>
      <c r="B117" s="91" t="s">
        <v>355</v>
      </c>
      <c r="C117" s="58"/>
      <c r="D117" s="58"/>
      <c r="E117" s="58"/>
      <c r="F117" s="58"/>
      <c r="G117" s="58"/>
      <c r="H117" s="58"/>
      <c r="I117" s="58"/>
    </row>
    <row r="118" spans="1:10" ht="12" customHeight="1">
      <c r="A118" s="51" t="s">
        <v>436</v>
      </c>
      <c r="B118" s="91" t="s">
        <v>356</v>
      </c>
      <c r="C118" s="58"/>
      <c r="D118" s="58"/>
      <c r="E118" s="58"/>
      <c r="F118" s="58"/>
      <c r="G118" s="58"/>
      <c r="H118" s="58"/>
      <c r="I118" s="58"/>
    </row>
    <row r="119" spans="1:10" ht="12" customHeight="1">
      <c r="A119" s="55" t="s">
        <v>437</v>
      </c>
      <c r="B119" s="91" t="s">
        <v>357</v>
      </c>
      <c r="C119" s="58">
        <f>38971700</f>
        <v>38971700</v>
      </c>
      <c r="D119" s="58">
        <f>38971700</f>
        <v>38971700</v>
      </c>
      <c r="E119" s="58">
        <v>39001700</v>
      </c>
      <c r="F119" s="58">
        <v>41501700</v>
      </c>
      <c r="G119" s="58">
        <f>41501700</f>
        <v>41501700</v>
      </c>
      <c r="H119" s="58">
        <f>41551700</f>
        <v>41551700</v>
      </c>
      <c r="I119" s="58">
        <f>40973700+95000</f>
        <v>41068700</v>
      </c>
    </row>
    <row r="120" spans="1:10" ht="12" customHeight="1">
      <c r="A120" s="51" t="s">
        <v>441</v>
      </c>
      <c r="B120" s="89" t="s">
        <v>47</v>
      </c>
      <c r="C120" s="53">
        <f t="shared" ref="C120:H120" si="20">C121+C122</f>
        <v>73618052</v>
      </c>
      <c r="D120" s="53">
        <f t="shared" si="20"/>
        <v>72374870</v>
      </c>
      <c r="E120" s="53">
        <f t="shared" si="20"/>
        <v>44990683</v>
      </c>
      <c r="F120" s="53">
        <f t="shared" si="20"/>
        <v>44990683</v>
      </c>
      <c r="G120" s="53">
        <f t="shared" si="20"/>
        <v>62140267</v>
      </c>
      <c r="H120" s="53">
        <f t="shared" si="20"/>
        <v>54108257</v>
      </c>
      <c r="I120" s="53">
        <f>I121+I122</f>
        <v>68167697</v>
      </c>
    </row>
    <row r="121" spans="1:10" ht="12" customHeight="1">
      <c r="A121" s="51" t="s">
        <v>442</v>
      </c>
      <c r="B121" s="18" t="s">
        <v>444</v>
      </c>
      <c r="C121" s="53">
        <v>44412474</v>
      </c>
      <c r="D121" s="53">
        <f>44517474+78540+119640+280587+241524+1919391-3987864</f>
        <v>43169292</v>
      </c>
      <c r="E121" s="53">
        <v>5198937</v>
      </c>
      <c r="F121" s="53">
        <v>5198937</v>
      </c>
      <c r="G121" s="53">
        <v>12348521</v>
      </c>
      <c r="H121" s="53">
        <v>32016511</v>
      </c>
      <c r="I121" s="53">
        <f>39759951+300000+6016000</f>
        <v>46075951</v>
      </c>
    </row>
    <row r="122" spans="1:10" ht="12" customHeight="1" thickBot="1">
      <c r="A122" s="95" t="s">
        <v>443</v>
      </c>
      <c r="B122" s="96" t="s">
        <v>445</v>
      </c>
      <c r="C122" s="97">
        <v>29205578</v>
      </c>
      <c r="D122" s="97">
        <v>29205578</v>
      </c>
      <c r="E122" s="97">
        <f>39791746</f>
        <v>39791746</v>
      </c>
      <c r="F122" s="97">
        <f>39791746</f>
        <v>39791746</v>
      </c>
      <c r="G122" s="97">
        <f>49791746</f>
        <v>49791746</v>
      </c>
      <c r="H122" s="97">
        <v>22091746</v>
      </c>
      <c r="I122" s="97">
        <v>22091746</v>
      </c>
    </row>
    <row r="123" spans="1:10" ht="12" customHeight="1" thickBot="1">
      <c r="A123" s="98" t="s">
        <v>17</v>
      </c>
      <c r="B123" s="99" t="s">
        <v>654</v>
      </c>
      <c r="C123" s="100">
        <f t="shared" ref="C123:H123" si="21">+C124+C126+C128</f>
        <v>494609179</v>
      </c>
      <c r="D123" s="100">
        <f t="shared" si="21"/>
        <v>493872579</v>
      </c>
      <c r="E123" s="100">
        <f t="shared" si="21"/>
        <v>492573963</v>
      </c>
      <c r="F123" s="100">
        <f t="shared" si="21"/>
        <v>492573963</v>
      </c>
      <c r="G123" s="100">
        <f t="shared" si="21"/>
        <v>492623963</v>
      </c>
      <c r="H123" s="100">
        <f t="shared" si="21"/>
        <v>502123253</v>
      </c>
      <c r="I123" s="100">
        <f>+I124+I126+I128</f>
        <v>502180253</v>
      </c>
    </row>
    <row r="124" spans="1:10" ht="12" customHeight="1">
      <c r="A124" s="48" t="s">
        <v>101</v>
      </c>
      <c r="B124" s="18" t="s">
        <v>219</v>
      </c>
      <c r="C124" s="50">
        <f>369875414-15494000+751000+2876220</f>
        <v>358008634</v>
      </c>
      <c r="D124" s="50">
        <f>369875414-15494000+751000+2876220-635000-101600</f>
        <v>357272034</v>
      </c>
      <c r="E124" s="50">
        <f>340915080+3287489+751000</f>
        <v>344953569</v>
      </c>
      <c r="F124" s="50">
        <f>340915080+3287489+751000</f>
        <v>344953569</v>
      </c>
      <c r="G124" s="50">
        <f>340915080+3287489+751000</f>
        <v>344953569</v>
      </c>
      <c r="H124" s="50">
        <f>342083480+3287489+751000</f>
        <v>346121969</v>
      </c>
      <c r="I124" s="50">
        <f>342083480+3287489</f>
        <v>345370969</v>
      </c>
      <c r="J124" s="624"/>
    </row>
    <row r="125" spans="1:10" ht="12" customHeight="1">
      <c r="A125" s="48" t="s">
        <v>102</v>
      </c>
      <c r="B125" s="101" t="s">
        <v>361</v>
      </c>
      <c r="C125" s="50"/>
      <c r="D125" s="50"/>
      <c r="E125" s="50"/>
      <c r="F125" s="50"/>
      <c r="G125" s="50"/>
      <c r="H125" s="50"/>
      <c r="I125" s="50"/>
    </row>
    <row r="126" spans="1:10" ht="12" customHeight="1">
      <c r="A126" s="48" t="s">
        <v>103</v>
      </c>
      <c r="B126" s="101" t="s">
        <v>178</v>
      </c>
      <c r="C126" s="53">
        <f>142950545-6350000</f>
        <v>136600545</v>
      </c>
      <c r="D126" s="53">
        <f>142950545-6350000</f>
        <v>136600545</v>
      </c>
      <c r="E126" s="53">
        <f>147620394</f>
        <v>147620394</v>
      </c>
      <c r="F126" s="53">
        <f>147620394</f>
        <v>147620394</v>
      </c>
      <c r="G126" s="53">
        <f>147620394</f>
        <v>147620394</v>
      </c>
      <c r="H126" s="53">
        <v>155951284</v>
      </c>
      <c r="I126" s="53">
        <f>156181284</f>
        <v>156181284</v>
      </c>
    </row>
    <row r="127" spans="1:10" ht="12" customHeight="1">
      <c r="A127" s="48" t="s">
        <v>104</v>
      </c>
      <c r="B127" s="101" t="s">
        <v>362</v>
      </c>
      <c r="C127" s="102"/>
      <c r="D127" s="102"/>
      <c r="E127" s="102"/>
      <c r="F127" s="102"/>
      <c r="G127" s="102"/>
      <c r="H127" s="102"/>
      <c r="I127" s="102"/>
    </row>
    <row r="128" spans="1:10" ht="12" customHeight="1">
      <c r="A128" s="48" t="s">
        <v>105</v>
      </c>
      <c r="B128" s="56" t="s">
        <v>222</v>
      </c>
      <c r="C128" s="102">
        <f t="shared" ref="C128:H128" si="22">C129+C130+C131+C132+C133+C134+C135+C136</f>
        <v>0</v>
      </c>
      <c r="D128" s="102">
        <f t="shared" si="22"/>
        <v>0</v>
      </c>
      <c r="E128" s="102">
        <f t="shared" si="22"/>
        <v>0</v>
      </c>
      <c r="F128" s="102">
        <f t="shared" si="22"/>
        <v>0</v>
      </c>
      <c r="G128" s="102">
        <f t="shared" si="22"/>
        <v>50000</v>
      </c>
      <c r="H128" s="102">
        <f t="shared" si="22"/>
        <v>50000</v>
      </c>
      <c r="I128" s="102">
        <f>I129+I130+I131+I132+I133+I134+I135+I136</f>
        <v>628000</v>
      </c>
    </row>
    <row r="129" spans="1:9" ht="12" customHeight="1">
      <c r="A129" s="48" t="s">
        <v>114</v>
      </c>
      <c r="B129" s="54" t="s">
        <v>424</v>
      </c>
      <c r="C129" s="102"/>
      <c r="D129" s="102"/>
      <c r="E129" s="102"/>
      <c r="F129" s="102"/>
      <c r="G129" s="102"/>
      <c r="H129" s="102"/>
      <c r="I129" s="102"/>
    </row>
    <row r="130" spans="1:9" ht="12" customHeight="1">
      <c r="A130" s="48" t="s">
        <v>116</v>
      </c>
      <c r="B130" s="103" t="s">
        <v>367</v>
      </c>
      <c r="C130" s="102"/>
      <c r="D130" s="102"/>
      <c r="E130" s="102"/>
      <c r="F130" s="102"/>
      <c r="G130" s="102"/>
      <c r="H130" s="102"/>
      <c r="I130" s="102"/>
    </row>
    <row r="131" spans="1:9">
      <c r="A131" s="48" t="s">
        <v>179</v>
      </c>
      <c r="B131" s="93" t="s">
        <v>351</v>
      </c>
      <c r="C131" s="102"/>
      <c r="D131" s="102"/>
      <c r="E131" s="102"/>
      <c r="F131" s="102"/>
      <c r="G131" s="102"/>
      <c r="H131" s="102"/>
      <c r="I131" s="102"/>
    </row>
    <row r="132" spans="1:9" ht="12" customHeight="1">
      <c r="A132" s="48" t="s">
        <v>180</v>
      </c>
      <c r="B132" s="93" t="s">
        <v>366</v>
      </c>
      <c r="C132" s="102"/>
      <c r="D132" s="102"/>
      <c r="E132" s="102"/>
      <c r="F132" s="102"/>
      <c r="G132" s="102"/>
      <c r="H132" s="102"/>
      <c r="I132" s="102"/>
    </row>
    <row r="133" spans="1:9" ht="12" customHeight="1">
      <c r="A133" s="48" t="s">
        <v>181</v>
      </c>
      <c r="B133" s="93" t="s">
        <v>365</v>
      </c>
      <c r="C133" s="102"/>
      <c r="D133" s="102"/>
      <c r="E133" s="102"/>
      <c r="F133" s="102"/>
      <c r="G133" s="102"/>
      <c r="H133" s="102"/>
      <c r="I133" s="102"/>
    </row>
    <row r="134" spans="1:9" ht="12" customHeight="1">
      <c r="A134" s="48" t="s">
        <v>358</v>
      </c>
      <c r="B134" s="93" t="s">
        <v>354</v>
      </c>
      <c r="C134" s="102"/>
      <c r="D134" s="102"/>
      <c r="E134" s="102"/>
      <c r="F134" s="102"/>
      <c r="G134" s="102"/>
      <c r="H134" s="102"/>
      <c r="I134" s="102"/>
    </row>
    <row r="135" spans="1:9" ht="12" customHeight="1">
      <c r="A135" s="48" t="s">
        <v>359</v>
      </c>
      <c r="B135" s="93" t="s">
        <v>364</v>
      </c>
      <c r="C135" s="102"/>
      <c r="D135" s="102"/>
      <c r="E135" s="102"/>
      <c r="F135" s="102"/>
      <c r="G135" s="102"/>
      <c r="H135" s="102"/>
      <c r="I135" s="102"/>
    </row>
    <row r="136" spans="1:9" ht="16.5" thickBot="1">
      <c r="A136" s="94" t="s">
        <v>360</v>
      </c>
      <c r="B136" s="93" t="s">
        <v>363</v>
      </c>
      <c r="C136" s="104"/>
      <c r="D136" s="104"/>
      <c r="E136" s="104"/>
      <c r="F136" s="104"/>
      <c r="G136" s="104">
        <v>50000</v>
      </c>
      <c r="H136" s="104">
        <v>50000</v>
      </c>
      <c r="I136" s="104">
        <f>628000</f>
        <v>628000</v>
      </c>
    </row>
    <row r="137" spans="1:9" ht="12" customHeight="1" thickBot="1">
      <c r="A137" s="44" t="s">
        <v>18</v>
      </c>
      <c r="B137" s="21" t="s">
        <v>446</v>
      </c>
      <c r="C137" s="46">
        <f t="shared" ref="C137:H137" si="23">+C102+C123</f>
        <v>1126856024</v>
      </c>
      <c r="D137" s="46">
        <f t="shared" si="23"/>
        <v>1130316538</v>
      </c>
      <c r="E137" s="46">
        <f t="shared" si="23"/>
        <v>1129434679</v>
      </c>
      <c r="F137" s="46">
        <f t="shared" si="23"/>
        <v>1131934679</v>
      </c>
      <c r="G137" s="46">
        <f t="shared" si="23"/>
        <v>1157238680</v>
      </c>
      <c r="H137" s="46">
        <f t="shared" si="23"/>
        <v>1187965114</v>
      </c>
      <c r="I137" s="46">
        <f>+I102+I123</f>
        <v>1077119900</v>
      </c>
    </row>
    <row r="138" spans="1:9" ht="12" customHeight="1" thickBot="1">
      <c r="A138" s="44" t="s">
        <v>19</v>
      </c>
      <c r="B138" s="21" t="s">
        <v>447</v>
      </c>
      <c r="C138" s="46">
        <f t="shared" ref="C138:H138" si="24">+C139+C140+C141</f>
        <v>0</v>
      </c>
      <c r="D138" s="46">
        <f t="shared" si="24"/>
        <v>0</v>
      </c>
      <c r="E138" s="46">
        <f t="shared" si="24"/>
        <v>0</v>
      </c>
      <c r="F138" s="46">
        <f t="shared" si="24"/>
        <v>0</v>
      </c>
      <c r="G138" s="46">
        <f t="shared" si="24"/>
        <v>0</v>
      </c>
      <c r="H138" s="46">
        <f t="shared" si="24"/>
        <v>0</v>
      </c>
      <c r="I138" s="46">
        <f>+I139+I140+I141</f>
        <v>0</v>
      </c>
    </row>
    <row r="139" spans="1:9" ht="12" customHeight="1">
      <c r="A139" s="48" t="s">
        <v>259</v>
      </c>
      <c r="B139" s="101" t="s">
        <v>454</v>
      </c>
      <c r="C139" s="102"/>
      <c r="D139" s="102"/>
      <c r="E139" s="102"/>
      <c r="F139" s="102"/>
      <c r="G139" s="102"/>
      <c r="H139" s="102"/>
      <c r="I139" s="102"/>
    </row>
    <row r="140" spans="1:9" ht="12" customHeight="1">
      <c r="A140" s="48" t="s">
        <v>262</v>
      </c>
      <c r="B140" s="101" t="s">
        <v>455</v>
      </c>
      <c r="C140" s="102"/>
      <c r="D140" s="102"/>
      <c r="E140" s="102"/>
      <c r="F140" s="102"/>
      <c r="G140" s="102"/>
      <c r="H140" s="102"/>
      <c r="I140" s="102"/>
    </row>
    <row r="141" spans="1:9" ht="12" customHeight="1" thickBot="1">
      <c r="A141" s="94" t="s">
        <v>263</v>
      </c>
      <c r="B141" s="101" t="s">
        <v>456</v>
      </c>
      <c r="C141" s="102"/>
      <c r="D141" s="102"/>
      <c r="E141" s="102"/>
      <c r="F141" s="102"/>
      <c r="G141" s="102"/>
      <c r="H141" s="102"/>
      <c r="I141" s="102"/>
    </row>
    <row r="142" spans="1:9" ht="12" customHeight="1" thickBot="1">
      <c r="A142" s="44" t="s">
        <v>20</v>
      </c>
      <c r="B142" s="21" t="s">
        <v>448</v>
      </c>
      <c r="C142" s="46">
        <f t="shared" ref="C142:H142" si="25">SUM(C143:C148)</f>
        <v>0</v>
      </c>
      <c r="D142" s="46">
        <f t="shared" si="25"/>
        <v>0</v>
      </c>
      <c r="E142" s="46">
        <f t="shared" si="25"/>
        <v>0</v>
      </c>
      <c r="F142" s="46">
        <f t="shared" si="25"/>
        <v>0</v>
      </c>
      <c r="G142" s="46">
        <f t="shared" si="25"/>
        <v>0</v>
      </c>
      <c r="H142" s="46">
        <f t="shared" si="25"/>
        <v>0</v>
      </c>
      <c r="I142" s="46">
        <f>SUM(I143:I148)</f>
        <v>0</v>
      </c>
    </row>
    <row r="143" spans="1:9" ht="12" customHeight="1">
      <c r="A143" s="48" t="s">
        <v>88</v>
      </c>
      <c r="B143" s="20" t="s">
        <v>457</v>
      </c>
      <c r="C143" s="102"/>
      <c r="D143" s="102"/>
      <c r="E143" s="102"/>
      <c r="F143" s="102"/>
      <c r="G143" s="102"/>
      <c r="H143" s="102"/>
      <c r="I143" s="102"/>
    </row>
    <row r="144" spans="1:9" ht="12" customHeight="1">
      <c r="A144" s="48" t="s">
        <v>89</v>
      </c>
      <c r="B144" s="20" t="s">
        <v>449</v>
      </c>
      <c r="C144" s="102"/>
      <c r="D144" s="102"/>
      <c r="E144" s="102"/>
      <c r="F144" s="102"/>
      <c r="G144" s="102"/>
      <c r="H144" s="102"/>
      <c r="I144" s="102"/>
    </row>
    <row r="145" spans="1:9" ht="12" customHeight="1">
      <c r="A145" s="48" t="s">
        <v>90</v>
      </c>
      <c r="B145" s="20" t="s">
        <v>450</v>
      </c>
      <c r="C145" s="102"/>
      <c r="D145" s="102"/>
      <c r="E145" s="102"/>
      <c r="F145" s="102"/>
      <c r="G145" s="102"/>
      <c r="H145" s="102"/>
      <c r="I145" s="102"/>
    </row>
    <row r="146" spans="1:9" ht="12" customHeight="1">
      <c r="A146" s="48" t="s">
        <v>166</v>
      </c>
      <c r="B146" s="20" t="s">
        <v>451</v>
      </c>
      <c r="C146" s="102"/>
      <c r="D146" s="102"/>
      <c r="E146" s="102"/>
      <c r="F146" s="102"/>
      <c r="G146" s="102"/>
      <c r="H146" s="102"/>
      <c r="I146" s="102"/>
    </row>
    <row r="147" spans="1:9" ht="12" customHeight="1">
      <c r="A147" s="48" t="s">
        <v>167</v>
      </c>
      <c r="B147" s="20" t="s">
        <v>452</v>
      </c>
      <c r="C147" s="102"/>
      <c r="D147" s="102"/>
      <c r="E147" s="102"/>
      <c r="F147" s="102"/>
      <c r="G147" s="102"/>
      <c r="H147" s="102"/>
      <c r="I147" s="102"/>
    </row>
    <row r="148" spans="1:9" ht="12" customHeight="1" thickBot="1">
      <c r="A148" s="94" t="s">
        <v>168</v>
      </c>
      <c r="B148" s="20" t="s">
        <v>453</v>
      </c>
      <c r="C148" s="102"/>
      <c r="D148" s="102"/>
      <c r="E148" s="102"/>
      <c r="F148" s="102"/>
      <c r="G148" s="102"/>
      <c r="H148" s="102"/>
      <c r="I148" s="102"/>
    </row>
    <row r="149" spans="1:9" ht="12" customHeight="1" thickBot="1">
      <c r="A149" s="44" t="s">
        <v>21</v>
      </c>
      <c r="B149" s="21" t="s">
        <v>461</v>
      </c>
      <c r="C149" s="60">
        <f t="shared" ref="C149:H149" si="26">+C150+C151+C152+C153</f>
        <v>7960578</v>
      </c>
      <c r="D149" s="60">
        <f t="shared" si="26"/>
        <v>8033142</v>
      </c>
      <c r="E149" s="60">
        <f t="shared" si="26"/>
        <v>8033142</v>
      </c>
      <c r="F149" s="60">
        <f t="shared" si="26"/>
        <v>8033142</v>
      </c>
      <c r="G149" s="60">
        <f t="shared" si="26"/>
        <v>8033142</v>
      </c>
      <c r="H149" s="60">
        <f t="shared" si="26"/>
        <v>8033142</v>
      </c>
      <c r="I149" s="60">
        <f>+I150+I151+I152+I153</f>
        <v>16140862</v>
      </c>
    </row>
    <row r="150" spans="1:9" ht="12" customHeight="1">
      <c r="A150" s="48" t="s">
        <v>91</v>
      </c>
      <c r="B150" s="20" t="s">
        <v>368</v>
      </c>
      <c r="C150" s="102"/>
      <c r="D150" s="102"/>
      <c r="E150" s="102"/>
      <c r="F150" s="102"/>
      <c r="G150" s="102"/>
      <c r="H150" s="102"/>
      <c r="I150" s="102"/>
    </row>
    <row r="151" spans="1:9" ht="12" customHeight="1">
      <c r="A151" s="48" t="s">
        <v>92</v>
      </c>
      <c r="B151" s="20" t="s">
        <v>369</v>
      </c>
      <c r="C151" s="102">
        <f>7960578</f>
        <v>7960578</v>
      </c>
      <c r="D151" s="102">
        <f>7960578+72564</f>
        <v>8033142</v>
      </c>
      <c r="E151" s="102">
        <f>8033142</f>
        <v>8033142</v>
      </c>
      <c r="F151" s="102">
        <f>8033142</f>
        <v>8033142</v>
      </c>
      <c r="G151" s="102">
        <f>8033142</f>
        <v>8033142</v>
      </c>
      <c r="H151" s="102">
        <f>8033142</f>
        <v>8033142</v>
      </c>
      <c r="I151" s="102">
        <v>16140862</v>
      </c>
    </row>
    <row r="152" spans="1:9" ht="12" customHeight="1">
      <c r="A152" s="48" t="s">
        <v>283</v>
      </c>
      <c r="B152" s="20" t="s">
        <v>462</v>
      </c>
      <c r="C152" s="102"/>
      <c r="D152" s="102"/>
      <c r="E152" s="102"/>
      <c r="F152" s="102"/>
      <c r="G152" s="102"/>
      <c r="H152" s="102"/>
      <c r="I152" s="102"/>
    </row>
    <row r="153" spans="1:9" ht="12" customHeight="1" thickBot="1">
      <c r="A153" s="94" t="s">
        <v>284</v>
      </c>
      <c r="B153" s="19" t="s">
        <v>388</v>
      </c>
      <c r="C153" s="102"/>
      <c r="D153" s="102"/>
      <c r="E153" s="102"/>
      <c r="F153" s="102"/>
      <c r="G153" s="102"/>
      <c r="H153" s="102"/>
      <c r="I153" s="102"/>
    </row>
    <row r="154" spans="1:9" ht="12" customHeight="1" thickBot="1">
      <c r="A154" s="44" t="s">
        <v>22</v>
      </c>
      <c r="B154" s="21" t="s">
        <v>463</v>
      </c>
      <c r="C154" s="105">
        <f t="shared" ref="C154:H154" si="27">SUM(C155:C159)</f>
        <v>0</v>
      </c>
      <c r="D154" s="105">
        <f t="shared" si="27"/>
        <v>0</v>
      </c>
      <c r="E154" s="105">
        <f t="shared" si="27"/>
        <v>0</v>
      </c>
      <c r="F154" s="105">
        <f t="shared" si="27"/>
        <v>0</v>
      </c>
      <c r="G154" s="105">
        <f t="shared" si="27"/>
        <v>0</v>
      </c>
      <c r="H154" s="105">
        <f t="shared" si="27"/>
        <v>0</v>
      </c>
      <c r="I154" s="105">
        <f>SUM(I155:I159)</f>
        <v>0</v>
      </c>
    </row>
    <row r="155" spans="1:9" ht="12" customHeight="1">
      <c r="A155" s="48" t="s">
        <v>93</v>
      </c>
      <c r="B155" s="20" t="s">
        <v>458</v>
      </c>
      <c r="C155" s="102"/>
      <c r="D155" s="102"/>
      <c r="E155" s="102"/>
      <c r="F155" s="102"/>
      <c r="G155" s="102"/>
      <c r="H155" s="102"/>
      <c r="I155" s="102"/>
    </row>
    <row r="156" spans="1:9" ht="12" customHeight="1">
      <c r="A156" s="48" t="s">
        <v>94</v>
      </c>
      <c r="B156" s="20" t="s">
        <v>465</v>
      </c>
      <c r="C156" s="102"/>
      <c r="D156" s="102"/>
      <c r="E156" s="102"/>
      <c r="F156" s="102"/>
      <c r="G156" s="102"/>
      <c r="H156" s="102"/>
      <c r="I156" s="102"/>
    </row>
    <row r="157" spans="1:9" ht="12" customHeight="1">
      <c r="A157" s="48" t="s">
        <v>295</v>
      </c>
      <c r="B157" s="20" t="s">
        <v>460</v>
      </c>
      <c r="C157" s="102"/>
      <c r="D157" s="102"/>
      <c r="E157" s="102"/>
      <c r="F157" s="102"/>
      <c r="G157" s="102"/>
      <c r="H157" s="102"/>
      <c r="I157" s="102"/>
    </row>
    <row r="158" spans="1:9" ht="12" customHeight="1">
      <c r="A158" s="48" t="s">
        <v>296</v>
      </c>
      <c r="B158" s="20" t="s">
        <v>466</v>
      </c>
      <c r="C158" s="102"/>
      <c r="D158" s="102"/>
      <c r="E158" s="102"/>
      <c r="F158" s="102"/>
      <c r="G158" s="102"/>
      <c r="H158" s="102"/>
      <c r="I158" s="102"/>
    </row>
    <row r="159" spans="1:9" ht="12" customHeight="1" thickBot="1">
      <c r="A159" s="48" t="s">
        <v>464</v>
      </c>
      <c r="B159" s="20" t="s">
        <v>467</v>
      </c>
      <c r="C159" s="102"/>
      <c r="D159" s="102"/>
      <c r="E159" s="102"/>
      <c r="F159" s="102"/>
      <c r="G159" s="102"/>
      <c r="H159" s="102"/>
      <c r="I159" s="102"/>
    </row>
    <row r="160" spans="1:9" ht="12" customHeight="1" thickBot="1">
      <c r="A160" s="44" t="s">
        <v>23</v>
      </c>
      <c r="B160" s="21" t="s">
        <v>468</v>
      </c>
      <c r="C160" s="106"/>
      <c r="D160" s="106"/>
      <c r="E160" s="106"/>
      <c r="F160" s="106"/>
      <c r="G160" s="106"/>
      <c r="H160" s="106"/>
      <c r="I160" s="106"/>
    </row>
    <row r="161" spans="1:9" ht="12" customHeight="1" thickBot="1">
      <c r="A161" s="44" t="s">
        <v>24</v>
      </c>
      <c r="B161" s="21" t="s">
        <v>543</v>
      </c>
      <c r="C161" s="106">
        <v>0</v>
      </c>
      <c r="D161" s="106"/>
      <c r="E161" s="106"/>
      <c r="F161" s="106"/>
      <c r="G161" s="106"/>
      <c r="H161" s="106"/>
      <c r="I161" s="106"/>
    </row>
    <row r="162" spans="1:9" ht="15" customHeight="1" thickBot="1">
      <c r="A162" s="44" t="s">
        <v>25</v>
      </c>
      <c r="B162" s="21" t="s">
        <v>471</v>
      </c>
      <c r="C162" s="107">
        <f t="shared" ref="C162:H162" si="28">+C138+C142+C149+C154+C160+C161</f>
        <v>7960578</v>
      </c>
      <c r="D162" s="107">
        <f t="shared" si="28"/>
        <v>8033142</v>
      </c>
      <c r="E162" s="107">
        <f t="shared" si="28"/>
        <v>8033142</v>
      </c>
      <c r="F162" s="107">
        <f t="shared" si="28"/>
        <v>8033142</v>
      </c>
      <c r="G162" s="107">
        <f t="shared" si="28"/>
        <v>8033142</v>
      </c>
      <c r="H162" s="107">
        <f t="shared" si="28"/>
        <v>8033142</v>
      </c>
      <c r="I162" s="107">
        <f>+I138+I142+I149+I154+I160+I161</f>
        <v>16140862</v>
      </c>
    </row>
    <row r="163" spans="1:9" s="47" customFormat="1" ht="12.95" customHeight="1" thickBot="1">
      <c r="A163" s="109" t="s">
        <v>26</v>
      </c>
      <c r="B163" s="110" t="s">
        <v>470</v>
      </c>
      <c r="C163" s="107">
        <f t="shared" ref="C163:H163" si="29">+C137+C162</f>
        <v>1134816602</v>
      </c>
      <c r="D163" s="107">
        <f t="shared" si="29"/>
        <v>1138349680</v>
      </c>
      <c r="E163" s="107">
        <f t="shared" si="29"/>
        <v>1137467821</v>
      </c>
      <c r="F163" s="107">
        <f t="shared" si="29"/>
        <v>1139967821</v>
      </c>
      <c r="G163" s="107">
        <f t="shared" si="29"/>
        <v>1165271822</v>
      </c>
      <c r="H163" s="107">
        <f t="shared" si="29"/>
        <v>1195998256</v>
      </c>
      <c r="I163" s="107">
        <f>+I137+I162</f>
        <v>1093260762</v>
      </c>
    </row>
    <row r="164" spans="1:9" ht="7.5" customHeight="1"/>
    <row r="165" spans="1:9">
      <c r="A165" s="737" t="s">
        <v>370</v>
      </c>
      <c r="B165" s="737"/>
      <c r="C165" s="36"/>
      <c r="D165" s="36"/>
      <c r="E165" s="36"/>
      <c r="F165" s="36"/>
      <c r="G165" s="36"/>
      <c r="H165" s="36"/>
      <c r="I165" s="36"/>
    </row>
    <row r="166" spans="1:9" ht="15" customHeight="1" thickBot="1">
      <c r="A166" s="734" t="s">
        <v>146</v>
      </c>
      <c r="B166" s="734"/>
      <c r="C166" s="37" t="s">
        <v>220</v>
      </c>
      <c r="D166" s="37" t="s">
        <v>220</v>
      </c>
      <c r="E166" s="37" t="s">
        <v>220</v>
      </c>
      <c r="F166" s="37" t="s">
        <v>220</v>
      </c>
      <c r="G166" s="37" t="s">
        <v>220</v>
      </c>
      <c r="H166" s="37" t="s">
        <v>220</v>
      </c>
      <c r="I166" s="37" t="s">
        <v>220</v>
      </c>
    </row>
    <row r="167" spans="1:9" ht="13.5" customHeight="1" thickBot="1">
      <c r="A167" s="44">
        <v>1</v>
      </c>
      <c r="B167" s="112" t="s">
        <v>472</v>
      </c>
      <c r="C167" s="46">
        <f t="shared" ref="C167:H167" si="30">+C71-C137</f>
        <v>-601704590</v>
      </c>
      <c r="D167" s="46">
        <f t="shared" si="30"/>
        <v>-601704590</v>
      </c>
      <c r="E167" s="46">
        <f t="shared" si="30"/>
        <v>-602300335</v>
      </c>
      <c r="F167" s="46">
        <f t="shared" si="30"/>
        <v>-602300335</v>
      </c>
      <c r="G167" s="46">
        <f t="shared" si="30"/>
        <v>-602309909</v>
      </c>
      <c r="H167" s="46">
        <f t="shared" si="30"/>
        <v>-602309909</v>
      </c>
      <c r="I167" s="46">
        <f>+I71-I137</f>
        <v>-476339681</v>
      </c>
    </row>
    <row r="168" spans="1:9" ht="27.75" customHeight="1" thickBot="1">
      <c r="A168" s="44" t="s">
        <v>17</v>
      </c>
      <c r="B168" s="112" t="s">
        <v>478</v>
      </c>
      <c r="C168" s="46">
        <f t="shared" ref="C168:H168" si="31">+C95-C162</f>
        <v>601704590</v>
      </c>
      <c r="D168" s="46">
        <f t="shared" si="31"/>
        <v>601704590</v>
      </c>
      <c r="E168" s="46">
        <f t="shared" si="31"/>
        <v>602300335</v>
      </c>
      <c r="F168" s="46">
        <f t="shared" si="31"/>
        <v>602300335</v>
      </c>
      <c r="G168" s="46">
        <f t="shared" si="31"/>
        <v>602309909</v>
      </c>
      <c r="H168" s="46">
        <f t="shared" si="31"/>
        <v>602309909</v>
      </c>
      <c r="I168" s="46">
        <f>+I95-I162</f>
        <v>602300335</v>
      </c>
    </row>
  </sheetData>
  <mergeCells count="6">
    <mergeCell ref="A165:B165"/>
    <mergeCell ref="A166:B166"/>
    <mergeCell ref="A10:B10"/>
    <mergeCell ref="A11:B11"/>
    <mergeCell ref="A98:B98"/>
    <mergeCell ref="A99:B99"/>
  </mergeCells>
  <phoneticPr fontId="6" type="noConversion"/>
  <printOptions horizontalCentered="1"/>
  <pageMargins left="0.19685039370078741" right="0.19685039370078741" top="0.19685039370078741" bottom="0.19685039370078741" header="0.78740157480314965" footer="0.59055118110236227"/>
  <pageSetup paperSize="9" scale="63" orientation="landscape" r:id="rId1"/>
  <headerFooter differentOddEven="1">
    <oddHeader xml:space="preserve">&amp;R&amp;"Times New Roman CE,Félkövér dőlt"&amp;11 </oddHeader>
    <oddFooter>&amp;P. oldal, összesen: &amp;N</oddFooter>
  </headerFooter>
  <rowBreaks count="3" manualBreakCount="3">
    <brk id="54" max="8" man="1"/>
    <brk id="71" max="8" man="1"/>
    <brk id="97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8"/>
  </sheetPr>
  <dimension ref="A1:F61"/>
  <sheetViews>
    <sheetView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6" width="25" style="659" customWidth="1"/>
    <col min="7" max="16384" width="9.33203125" style="659"/>
  </cols>
  <sheetData>
    <row r="1" spans="1:6" s="645" customFormat="1" ht="21" customHeight="1" thickBot="1">
      <c r="A1" s="643"/>
      <c r="B1" s="644" t="s">
        <v>797</v>
      </c>
      <c r="C1" s="644"/>
      <c r="D1" s="644"/>
      <c r="E1" s="644"/>
      <c r="F1" s="644"/>
    </row>
    <row r="2" spans="1:6" s="649" customFormat="1" ht="33" customHeight="1">
      <c r="A2" s="646" t="s">
        <v>194</v>
      </c>
      <c r="B2" s="647" t="s">
        <v>539</v>
      </c>
      <c r="C2" s="648" t="s">
        <v>56</v>
      </c>
      <c r="D2" s="648" t="s">
        <v>56</v>
      </c>
      <c r="E2" s="648" t="s">
        <v>56</v>
      </c>
      <c r="F2" s="648" t="s">
        <v>56</v>
      </c>
    </row>
    <row r="3" spans="1:6" s="649" customFormat="1" ht="24.75" thickBot="1">
      <c r="A3" s="650" t="s">
        <v>193</v>
      </c>
      <c r="B3" s="651" t="s">
        <v>415</v>
      </c>
      <c r="C3" s="652" t="s">
        <v>56</v>
      </c>
      <c r="D3" s="652" t="s">
        <v>56</v>
      </c>
      <c r="E3" s="652" t="s">
        <v>56</v>
      </c>
      <c r="F3" s="652" t="s">
        <v>56</v>
      </c>
    </row>
    <row r="4" spans="1:6" s="655" customFormat="1" ht="15.95" customHeight="1" thickBot="1">
      <c r="A4" s="653"/>
      <c r="B4" s="653"/>
      <c r="C4" s="654" t="s">
        <v>588</v>
      </c>
      <c r="D4" s="654" t="s">
        <v>588</v>
      </c>
      <c r="E4" s="654" t="s">
        <v>588</v>
      </c>
      <c r="F4" s="654" t="s">
        <v>588</v>
      </c>
    </row>
    <row r="5" spans="1:6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780</v>
      </c>
    </row>
    <row r="6" spans="1:6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</row>
    <row r="7" spans="1:6" s="663" customFormat="1" ht="15.95" customHeight="1" thickBot="1">
      <c r="A7" s="664"/>
      <c r="B7" s="665" t="s">
        <v>53</v>
      </c>
      <c r="C7" s="666"/>
      <c r="D7" s="666"/>
      <c r="E7" s="666"/>
      <c r="F7" s="666"/>
    </row>
    <row r="8" spans="1:6" s="669" customFormat="1" ht="12" customHeight="1" thickBot="1">
      <c r="A8" s="660" t="s">
        <v>16</v>
      </c>
      <c r="B8" s="667" t="s">
        <v>513</v>
      </c>
      <c r="C8" s="668">
        <f>SUM(C9:C19)</f>
        <v>1611140</v>
      </c>
      <c r="D8" s="668">
        <f>SUM(D9:D19)</f>
        <v>1611140</v>
      </c>
      <c r="E8" s="668">
        <f>SUM(E9:E19)</f>
        <v>1901140</v>
      </c>
      <c r="F8" s="668">
        <f>SUM(F9:F19)</f>
        <v>2131140</v>
      </c>
    </row>
    <row r="9" spans="1:6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</row>
    <row r="10" spans="1:6" s="669" customFormat="1" ht="12" customHeight="1">
      <c r="A10" s="673" t="s">
        <v>96</v>
      </c>
      <c r="B10" s="674" t="s">
        <v>273</v>
      </c>
      <c r="C10" s="675">
        <v>1050000</v>
      </c>
      <c r="D10" s="675">
        <v>1050000</v>
      </c>
      <c r="E10" s="675">
        <f>1050000+65000</f>
        <v>1115000</v>
      </c>
      <c r="F10" s="675">
        <f>1050000+65000+95000</f>
        <v>1210000</v>
      </c>
    </row>
    <row r="11" spans="1:6" s="669" customFormat="1" ht="12" customHeight="1">
      <c r="A11" s="673" t="s">
        <v>97</v>
      </c>
      <c r="B11" s="674" t="s">
        <v>274</v>
      </c>
      <c r="C11" s="675">
        <v>560000</v>
      </c>
      <c r="D11" s="675">
        <v>560000</v>
      </c>
      <c r="E11" s="675">
        <f>560000+200000</f>
        <v>760000</v>
      </c>
      <c r="F11" s="675">
        <f>560000+200000+135000</f>
        <v>895000</v>
      </c>
    </row>
    <row r="12" spans="1:6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</row>
    <row r="13" spans="1:6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</row>
    <row r="14" spans="1:6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</row>
    <row r="15" spans="1:6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</row>
    <row r="16" spans="1:6" s="669" customFormat="1" ht="12" customHeight="1">
      <c r="A16" s="673" t="s">
        <v>110</v>
      </c>
      <c r="B16" s="674" t="s">
        <v>279</v>
      </c>
      <c r="C16" s="677">
        <v>140</v>
      </c>
      <c r="D16" s="677">
        <v>140</v>
      </c>
      <c r="E16" s="677">
        <v>140</v>
      </c>
      <c r="F16" s="677">
        <v>140</v>
      </c>
    </row>
    <row r="17" spans="1:6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</row>
    <row r="18" spans="1:6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</row>
    <row r="19" spans="1:6" s="678" customFormat="1" ht="12" customHeight="1" thickBot="1">
      <c r="A19" s="673" t="s">
        <v>113</v>
      </c>
      <c r="B19" s="676" t="s">
        <v>281</v>
      </c>
      <c r="C19" s="679">
        <v>1000</v>
      </c>
      <c r="D19" s="679">
        <v>1000</v>
      </c>
      <c r="E19" s="679">
        <f>1000+25000</f>
        <v>26000</v>
      </c>
      <c r="F19" s="679">
        <f>1000+25000</f>
        <v>26000</v>
      </c>
    </row>
    <row r="20" spans="1:6" s="669" customFormat="1" ht="12" customHeight="1" thickBot="1">
      <c r="A20" s="660" t="s">
        <v>17</v>
      </c>
      <c r="B20" s="667" t="s">
        <v>399</v>
      </c>
      <c r="C20" s="668">
        <f>SUM(C21:C23)</f>
        <v>1252761</v>
      </c>
      <c r="D20" s="668">
        <f>SUM(D21:D23)</f>
        <v>1294833</v>
      </c>
      <c r="E20" s="668">
        <f>SUM(E21:E23)</f>
        <v>1294833</v>
      </c>
      <c r="F20" s="668">
        <f>SUM(F21:F23)</f>
        <v>1294833</v>
      </c>
    </row>
    <row r="21" spans="1:6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</row>
    <row r="22" spans="1:6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</row>
    <row r="23" spans="1:6" s="678" customFormat="1" ht="12" customHeight="1">
      <c r="A23" s="673" t="s">
        <v>103</v>
      </c>
      <c r="B23" s="674" t="s">
        <v>401</v>
      </c>
      <c r="C23" s="675">
        <v>1252761</v>
      </c>
      <c r="D23" s="675">
        <f>1252761+42072</f>
        <v>1294833</v>
      </c>
      <c r="E23" s="675">
        <f>1252761+42072</f>
        <v>1294833</v>
      </c>
      <c r="F23" s="675">
        <f>1252761+42072</f>
        <v>1294833</v>
      </c>
    </row>
    <row r="24" spans="1:6" s="678" customFormat="1" ht="12" customHeight="1" thickBot="1">
      <c r="A24" s="673" t="s">
        <v>104</v>
      </c>
      <c r="B24" s="674" t="s">
        <v>514</v>
      </c>
      <c r="C24" s="675"/>
      <c r="D24" s="675"/>
      <c r="E24" s="675"/>
      <c r="F24" s="675"/>
    </row>
    <row r="25" spans="1:6" s="678" customFormat="1" ht="12" customHeight="1" thickBot="1">
      <c r="A25" s="681" t="s">
        <v>18</v>
      </c>
      <c r="B25" s="682" t="s">
        <v>165</v>
      </c>
      <c r="C25" s="683"/>
      <c r="D25" s="683">
        <v>5000</v>
      </c>
      <c r="E25" s="683">
        <v>5000</v>
      </c>
      <c r="F25" s="683">
        <v>5000</v>
      </c>
    </row>
    <row r="26" spans="1:6" s="678" customFormat="1" ht="12" customHeight="1" thickBot="1">
      <c r="A26" s="681" t="s">
        <v>19</v>
      </c>
      <c r="B26" s="682" t="s">
        <v>515</v>
      </c>
      <c r="C26" s="668">
        <f>+C27+C28+C29</f>
        <v>0</v>
      </c>
      <c r="D26" s="668">
        <f>+D27+D28+D29</f>
        <v>0</v>
      </c>
      <c r="E26" s="668">
        <f>+E27+E28+E29</f>
        <v>0</v>
      </c>
      <c r="F26" s="668">
        <f>+F27+F28+F29</f>
        <v>0</v>
      </c>
    </row>
    <row r="27" spans="1:6" s="678" customFormat="1" ht="12" customHeight="1">
      <c r="A27" s="684" t="s">
        <v>259</v>
      </c>
      <c r="B27" s="685" t="s">
        <v>254</v>
      </c>
      <c r="C27" s="686"/>
      <c r="D27" s="686"/>
      <c r="E27" s="686"/>
      <c r="F27" s="686"/>
    </row>
    <row r="28" spans="1:6" s="678" customFormat="1" ht="12" customHeight="1">
      <c r="A28" s="684" t="s">
        <v>262</v>
      </c>
      <c r="B28" s="685" t="s">
        <v>400</v>
      </c>
      <c r="C28" s="675"/>
      <c r="D28" s="675"/>
      <c r="E28" s="675"/>
      <c r="F28" s="675"/>
    </row>
    <row r="29" spans="1:6" s="678" customFormat="1" ht="12" customHeight="1">
      <c r="A29" s="684" t="s">
        <v>263</v>
      </c>
      <c r="B29" s="687" t="s">
        <v>403</v>
      </c>
      <c r="C29" s="675"/>
      <c r="D29" s="675"/>
      <c r="E29" s="675"/>
      <c r="F29" s="675"/>
    </row>
    <row r="30" spans="1:6" s="678" customFormat="1" ht="12" customHeight="1" thickBot="1">
      <c r="A30" s="673" t="s">
        <v>264</v>
      </c>
      <c r="B30" s="688" t="s">
        <v>516</v>
      </c>
      <c r="C30" s="689"/>
      <c r="D30" s="689"/>
      <c r="E30" s="689"/>
      <c r="F30" s="689"/>
    </row>
    <row r="31" spans="1:6" s="678" customFormat="1" ht="12" customHeight="1" thickBot="1">
      <c r="A31" s="681" t="s">
        <v>20</v>
      </c>
      <c r="B31" s="682" t="s">
        <v>404</v>
      </c>
      <c r="C31" s="668">
        <f>+C32+C33+C34</f>
        <v>0</v>
      </c>
      <c r="D31" s="668">
        <f>+D32+D33+D34</f>
        <v>0</v>
      </c>
      <c r="E31" s="668">
        <f>+E32+E33+E34</f>
        <v>0</v>
      </c>
      <c r="F31" s="668">
        <f>+F32+F33+F34</f>
        <v>0</v>
      </c>
    </row>
    <row r="32" spans="1:6" s="678" customFormat="1" ht="12" customHeight="1">
      <c r="A32" s="684" t="s">
        <v>88</v>
      </c>
      <c r="B32" s="685" t="s">
        <v>286</v>
      </c>
      <c r="C32" s="686"/>
      <c r="D32" s="686"/>
      <c r="E32" s="686"/>
      <c r="F32" s="686"/>
    </row>
    <row r="33" spans="1:6" s="678" customFormat="1" ht="12" customHeight="1">
      <c r="A33" s="684" t="s">
        <v>89</v>
      </c>
      <c r="B33" s="687" t="s">
        <v>287</v>
      </c>
      <c r="C33" s="690"/>
      <c r="D33" s="690"/>
      <c r="E33" s="690"/>
      <c r="F33" s="690"/>
    </row>
    <row r="34" spans="1:6" s="678" customFormat="1" ht="12" customHeight="1" thickBot="1">
      <c r="A34" s="673" t="s">
        <v>90</v>
      </c>
      <c r="B34" s="688" t="s">
        <v>288</v>
      </c>
      <c r="C34" s="689"/>
      <c r="D34" s="689"/>
      <c r="E34" s="689"/>
      <c r="F34" s="689"/>
    </row>
    <row r="35" spans="1:6" s="669" customFormat="1" ht="12" customHeight="1" thickBot="1">
      <c r="A35" s="681" t="s">
        <v>21</v>
      </c>
      <c r="B35" s="682" t="s">
        <v>373</v>
      </c>
      <c r="C35" s="683"/>
      <c r="D35" s="683"/>
      <c r="E35" s="683"/>
      <c r="F35" s="683"/>
    </row>
    <row r="36" spans="1:6" s="669" customFormat="1" ht="12" customHeight="1" thickBot="1">
      <c r="A36" s="681" t="s">
        <v>22</v>
      </c>
      <c r="B36" s="682" t="s">
        <v>405</v>
      </c>
      <c r="C36" s="691"/>
      <c r="D36" s="691"/>
      <c r="E36" s="691"/>
      <c r="F36" s="691"/>
    </row>
    <row r="37" spans="1:6" s="669" customFormat="1" ht="12" customHeight="1" thickBot="1">
      <c r="A37" s="660" t="s">
        <v>23</v>
      </c>
      <c r="B37" s="682" t="s">
        <v>406</v>
      </c>
      <c r="C37" s="692">
        <f>+C8+C20+C25+C26+C31+C35+C36</f>
        <v>2863901</v>
      </c>
      <c r="D37" s="692">
        <f>+D8+D20+D25+D26+D31+D35+D36</f>
        <v>2910973</v>
      </c>
      <c r="E37" s="692">
        <f>+E8+E20+E25+E26+E31+E35+E36</f>
        <v>3200973</v>
      </c>
      <c r="F37" s="692">
        <f>+F8+F20+F25+F26+F31+F35+F36</f>
        <v>3430973</v>
      </c>
    </row>
    <row r="38" spans="1:6" s="669" customFormat="1" ht="12" customHeight="1" thickBot="1">
      <c r="A38" s="693" t="s">
        <v>24</v>
      </c>
      <c r="B38" s="682" t="s">
        <v>407</v>
      </c>
      <c r="C38" s="692">
        <f>+C39+C40+C41</f>
        <v>121246838</v>
      </c>
      <c r="D38" s="692">
        <f>+D39+D40+D41</f>
        <v>121410281</v>
      </c>
      <c r="E38" s="692">
        <f>+E39+E40+E41</f>
        <v>122759681</v>
      </c>
      <c r="F38" s="692">
        <f>+F39+F40+F41</f>
        <v>122529681</v>
      </c>
    </row>
    <row r="39" spans="1:6" s="669" customFormat="1" ht="12" customHeight="1">
      <c r="A39" s="684" t="s">
        <v>408</v>
      </c>
      <c r="B39" s="685" t="s">
        <v>229</v>
      </c>
      <c r="C39" s="686">
        <v>3610739</v>
      </c>
      <c r="D39" s="686">
        <f>3610739+945745</f>
        <v>4556484</v>
      </c>
      <c r="E39" s="686">
        <f>3610739+945745</f>
        <v>4556484</v>
      </c>
      <c r="F39" s="686">
        <f>3610739+945745</f>
        <v>4556484</v>
      </c>
    </row>
    <row r="40" spans="1:6" s="669" customFormat="1" ht="12" customHeight="1">
      <c r="A40" s="684" t="s">
        <v>409</v>
      </c>
      <c r="B40" s="687" t="s">
        <v>2</v>
      </c>
      <c r="C40" s="690"/>
      <c r="D40" s="690"/>
      <c r="E40" s="690"/>
      <c r="F40" s="690"/>
    </row>
    <row r="41" spans="1:6" s="678" customFormat="1" ht="12" customHeight="1" thickBot="1">
      <c r="A41" s="673" t="s">
        <v>410</v>
      </c>
      <c r="B41" s="688" t="s">
        <v>411</v>
      </c>
      <c r="C41" s="689">
        <v>117636099</v>
      </c>
      <c r="D41" s="689">
        <f>117636099-945745-5000+168443</f>
        <v>116853797</v>
      </c>
      <c r="E41" s="689">
        <f>117636099-945745-5000+168443+1099400-65000-200000-25000+540000</f>
        <v>118203197</v>
      </c>
      <c r="F41" s="689">
        <f>118203197-230000</f>
        <v>117973197</v>
      </c>
    </row>
    <row r="42" spans="1:6" s="678" customFormat="1" ht="15" customHeight="1" thickBot="1">
      <c r="A42" s="693" t="s">
        <v>25</v>
      </c>
      <c r="B42" s="694" t="s">
        <v>412</v>
      </c>
      <c r="C42" s="695">
        <f>C37+C38</f>
        <v>124110739</v>
      </c>
      <c r="D42" s="695">
        <f>D37+D38</f>
        <v>124321254</v>
      </c>
      <c r="E42" s="695">
        <f>E37+E38</f>
        <v>125960654</v>
      </c>
      <c r="F42" s="695">
        <f>F37+F38</f>
        <v>125960654</v>
      </c>
    </row>
    <row r="43" spans="1:6" s="678" customFormat="1" ht="15" customHeight="1">
      <c r="A43" s="696"/>
      <c r="B43" s="697"/>
      <c r="C43" s="698"/>
      <c r="D43" s="698"/>
      <c r="E43" s="698"/>
      <c r="F43" s="698"/>
    </row>
    <row r="44" spans="1:6" ht="13.5" thickBot="1">
      <c r="A44" s="699"/>
      <c r="B44" s="700"/>
      <c r="C44" s="701"/>
      <c r="D44" s="701"/>
      <c r="E44" s="701"/>
      <c r="F44" s="701"/>
    </row>
    <row r="45" spans="1:6" s="663" customFormat="1" ht="16.5" customHeight="1" thickBot="1">
      <c r="A45" s="702"/>
      <c r="B45" s="703" t="s">
        <v>54</v>
      </c>
      <c r="C45" s="695"/>
      <c r="D45" s="695"/>
      <c r="E45" s="695"/>
      <c r="F45" s="695"/>
    </row>
    <row r="46" spans="1:6" s="704" customFormat="1" ht="12" customHeight="1" thickBot="1">
      <c r="A46" s="681" t="s">
        <v>16</v>
      </c>
      <c r="B46" s="682" t="s">
        <v>413</v>
      </c>
      <c r="C46" s="668">
        <f>SUM(C47:C51)</f>
        <v>123359739</v>
      </c>
      <c r="D46" s="668">
        <f>SUM(D47:D51)</f>
        <v>123570254</v>
      </c>
      <c r="E46" s="668">
        <f>SUM(E47:E51)</f>
        <v>125209654</v>
      </c>
      <c r="F46" s="668">
        <f>SUM(F47:F51)</f>
        <v>125209654</v>
      </c>
    </row>
    <row r="47" spans="1:6" ht="12" customHeight="1">
      <c r="A47" s="673" t="s">
        <v>95</v>
      </c>
      <c r="B47" s="680" t="s">
        <v>46</v>
      </c>
      <c r="C47" s="686">
        <v>78769100</v>
      </c>
      <c r="D47" s="686">
        <f>78769100+140700-35000+73927+957</f>
        <v>78949684</v>
      </c>
      <c r="E47" s="686">
        <f>78769100+140700-35000+73927+957+920000+451885</f>
        <v>80321569</v>
      </c>
      <c r="F47" s="686">
        <f>78769100+140700-35000+73927+957+920000+451885</f>
        <v>80321569</v>
      </c>
    </row>
    <row r="48" spans="1:6" ht="12" customHeight="1">
      <c r="A48" s="673" t="s">
        <v>96</v>
      </c>
      <c r="B48" s="674" t="s">
        <v>174</v>
      </c>
      <c r="C48" s="705">
        <v>16172510</v>
      </c>
      <c r="D48" s="705">
        <f>16172510+27743+29607-957</f>
        <v>16228903</v>
      </c>
      <c r="E48" s="705">
        <f>16172510+27743+29607-957+179400+88115</f>
        <v>16496418</v>
      </c>
      <c r="F48" s="705">
        <f>16172510+27743+29607-957+179400+88115</f>
        <v>16496418</v>
      </c>
    </row>
    <row r="49" spans="1:6" ht="12" customHeight="1">
      <c r="A49" s="673" t="s">
        <v>97</v>
      </c>
      <c r="B49" s="674" t="s">
        <v>133</v>
      </c>
      <c r="C49" s="705">
        <v>28418129</v>
      </c>
      <c r="D49" s="705">
        <f>28418129-2873-23589</f>
        <v>28391667</v>
      </c>
      <c r="E49" s="705">
        <f>28418129-2873-23589</f>
        <v>28391667</v>
      </c>
      <c r="F49" s="705">
        <f>28418129-2873-23589</f>
        <v>28391667</v>
      </c>
    </row>
    <row r="50" spans="1:6" ht="12" customHeight="1">
      <c r="A50" s="673" t="s">
        <v>98</v>
      </c>
      <c r="B50" s="674" t="s">
        <v>175</v>
      </c>
      <c r="C50" s="705"/>
      <c r="D50" s="705"/>
      <c r="E50" s="705"/>
      <c r="F50" s="705"/>
    </row>
    <row r="51" spans="1:6" ht="12" customHeight="1" thickBot="1">
      <c r="A51" s="673" t="s">
        <v>141</v>
      </c>
      <c r="B51" s="674" t="s">
        <v>176</v>
      </c>
      <c r="C51" s="705"/>
      <c r="D51" s="705"/>
      <c r="E51" s="705"/>
      <c r="F51" s="705"/>
    </row>
    <row r="52" spans="1:6" ht="12" customHeight="1" thickBot="1">
      <c r="A52" s="681" t="s">
        <v>17</v>
      </c>
      <c r="B52" s="682" t="s">
        <v>414</v>
      </c>
      <c r="C52" s="668">
        <f>SUM(C53:C55)</f>
        <v>751000</v>
      </c>
      <c r="D52" s="668">
        <f>SUM(D53:D55)</f>
        <v>751000</v>
      </c>
      <c r="E52" s="668">
        <f>SUM(E53:E55)</f>
        <v>751000</v>
      </c>
      <c r="F52" s="668">
        <f>SUM(F53:F55)</f>
        <v>751000</v>
      </c>
    </row>
    <row r="53" spans="1:6" s="704" customFormat="1" ht="12" customHeight="1">
      <c r="A53" s="673" t="s">
        <v>101</v>
      </c>
      <c r="B53" s="680" t="s">
        <v>219</v>
      </c>
      <c r="C53" s="686">
        <v>751000</v>
      </c>
      <c r="D53" s="686">
        <v>751000</v>
      </c>
      <c r="E53" s="686">
        <v>751000</v>
      </c>
      <c r="F53" s="686">
        <v>751000</v>
      </c>
    </row>
    <row r="54" spans="1:6" ht="12" customHeight="1">
      <c r="A54" s="673" t="s">
        <v>102</v>
      </c>
      <c r="B54" s="674" t="s">
        <v>178</v>
      </c>
      <c r="C54" s="705"/>
      <c r="D54" s="705"/>
      <c r="E54" s="705"/>
      <c r="F54" s="705"/>
    </row>
    <row r="55" spans="1:6" ht="12" customHeight="1">
      <c r="A55" s="673" t="s">
        <v>103</v>
      </c>
      <c r="B55" s="674" t="s">
        <v>55</v>
      </c>
      <c r="C55" s="705"/>
      <c r="D55" s="705"/>
      <c r="E55" s="705"/>
      <c r="F55" s="705"/>
    </row>
    <row r="56" spans="1:6" ht="12" customHeight="1" thickBot="1">
      <c r="A56" s="673" t="s">
        <v>104</v>
      </c>
      <c r="B56" s="674" t="s">
        <v>517</v>
      </c>
      <c r="C56" s="705"/>
      <c r="D56" s="705"/>
      <c r="E56" s="705"/>
      <c r="F56" s="705"/>
    </row>
    <row r="57" spans="1:6" ht="15" customHeight="1" thickBot="1">
      <c r="A57" s="681" t="s">
        <v>18</v>
      </c>
      <c r="B57" s="682" t="s">
        <v>12</v>
      </c>
      <c r="C57" s="683"/>
      <c r="D57" s="683"/>
      <c r="E57" s="683"/>
      <c r="F57" s="683"/>
    </row>
    <row r="58" spans="1:6" ht="13.5" thickBot="1">
      <c r="A58" s="681" t="s">
        <v>19</v>
      </c>
      <c r="B58" s="706" t="s">
        <v>522</v>
      </c>
      <c r="C58" s="707">
        <f>+C46+C52+C57</f>
        <v>124110739</v>
      </c>
      <c r="D58" s="707">
        <f>+D46+D52+D57</f>
        <v>124321254</v>
      </c>
      <c r="E58" s="707">
        <f>+E46+E52+E57</f>
        <v>125960654</v>
      </c>
      <c r="F58" s="707">
        <f>+F46+F52+F57</f>
        <v>125960654</v>
      </c>
    </row>
    <row r="59" spans="1:6" ht="15" customHeight="1" thickBot="1">
      <c r="C59" s="709"/>
      <c r="D59" s="709"/>
      <c r="E59" s="709"/>
      <c r="F59" s="709"/>
    </row>
    <row r="60" spans="1:6" ht="14.25" customHeight="1" thickBot="1">
      <c r="A60" s="710" t="s">
        <v>512</v>
      </c>
      <c r="B60" s="711"/>
      <c r="C60" s="712">
        <v>19</v>
      </c>
      <c r="D60" s="712">
        <v>19</v>
      </c>
      <c r="E60" s="712">
        <v>19</v>
      </c>
      <c r="F60" s="712">
        <v>19</v>
      </c>
    </row>
    <row r="61" spans="1:6" ht="13.5" thickBot="1">
      <c r="A61" s="710" t="s">
        <v>196</v>
      </c>
      <c r="B61" s="711"/>
      <c r="C61" s="712"/>
      <c r="D61" s="712"/>
      <c r="E61" s="712"/>
      <c r="F61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landscape" verticalDpi="300" r:id="rId1"/>
  <headerFooter alignWithMargins="0">
    <oddFooter>&amp;P. oldal, összesen: &amp;N</oddFooter>
  </headerFooter>
  <rowBreaks count="1" manualBreakCount="1">
    <brk id="2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8"/>
  </sheetPr>
  <dimension ref="A1:F61"/>
  <sheetViews>
    <sheetView topLeftCell="B1"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6" width="25" style="659" customWidth="1"/>
    <col min="7" max="16384" width="9.33203125" style="659"/>
  </cols>
  <sheetData>
    <row r="1" spans="1:6" s="645" customFormat="1" ht="21" customHeight="1" thickBot="1">
      <c r="A1" s="643"/>
      <c r="B1" s="644" t="s">
        <v>798</v>
      </c>
      <c r="C1" s="644"/>
      <c r="D1" s="644"/>
      <c r="E1" s="644"/>
      <c r="F1" s="644"/>
    </row>
    <row r="2" spans="1:6" s="649" customFormat="1" ht="25.5" customHeight="1">
      <c r="A2" s="646" t="s">
        <v>194</v>
      </c>
      <c r="B2" s="647" t="s">
        <v>539</v>
      </c>
      <c r="C2" s="648" t="s">
        <v>56</v>
      </c>
      <c r="D2" s="648" t="s">
        <v>56</v>
      </c>
      <c r="E2" s="648" t="s">
        <v>56</v>
      </c>
      <c r="F2" s="648" t="s">
        <v>56</v>
      </c>
    </row>
    <row r="3" spans="1:6" s="649" customFormat="1" ht="24.75" thickBot="1">
      <c r="A3" s="650" t="s">
        <v>193</v>
      </c>
      <c r="B3" s="651" t="s">
        <v>416</v>
      </c>
      <c r="C3" s="652" t="s">
        <v>57</v>
      </c>
      <c r="D3" s="652" t="s">
        <v>57</v>
      </c>
      <c r="E3" s="652" t="s">
        <v>57</v>
      </c>
      <c r="F3" s="652" t="s">
        <v>57</v>
      </c>
    </row>
    <row r="4" spans="1:6" s="655" customFormat="1" ht="15.95" customHeight="1" thickBot="1">
      <c r="A4" s="653"/>
      <c r="B4" s="653"/>
      <c r="C4" s="654" t="s">
        <v>588</v>
      </c>
      <c r="D4" s="654" t="s">
        <v>588</v>
      </c>
      <c r="E4" s="654" t="s">
        <v>588</v>
      </c>
      <c r="F4" s="654" t="s">
        <v>588</v>
      </c>
    </row>
    <row r="5" spans="1:6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780</v>
      </c>
    </row>
    <row r="6" spans="1:6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</row>
    <row r="7" spans="1:6" s="663" customFormat="1" ht="15.95" customHeight="1" thickBot="1">
      <c r="A7" s="664"/>
      <c r="B7" s="665" t="s">
        <v>53</v>
      </c>
      <c r="C7" s="666"/>
      <c r="D7" s="666"/>
      <c r="E7" s="666"/>
      <c r="F7" s="666"/>
    </row>
    <row r="8" spans="1:6" s="669" customFormat="1" ht="12" customHeight="1" thickBot="1">
      <c r="A8" s="660" t="s">
        <v>16</v>
      </c>
      <c r="B8" s="667" t="s">
        <v>513</v>
      </c>
      <c r="C8" s="668">
        <f>SUM(C9:C19)</f>
        <v>0</v>
      </c>
      <c r="D8" s="668">
        <f>SUM(D9:D19)</f>
        <v>0</v>
      </c>
      <c r="E8" s="668">
        <f>SUM(E9:E19)</f>
        <v>0</v>
      </c>
      <c r="F8" s="668">
        <f>SUM(F9:F19)</f>
        <v>0</v>
      </c>
    </row>
    <row r="9" spans="1:6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</row>
    <row r="10" spans="1:6" s="669" customFormat="1" ht="12" customHeight="1">
      <c r="A10" s="673" t="s">
        <v>96</v>
      </c>
      <c r="B10" s="674" t="s">
        <v>273</v>
      </c>
      <c r="C10" s="675"/>
      <c r="D10" s="675"/>
      <c r="E10" s="675"/>
      <c r="F10" s="675"/>
    </row>
    <row r="11" spans="1:6" s="669" customFormat="1" ht="12" customHeight="1">
      <c r="A11" s="673" t="s">
        <v>97</v>
      </c>
      <c r="B11" s="674" t="s">
        <v>274</v>
      </c>
      <c r="C11" s="675"/>
      <c r="D11" s="675"/>
      <c r="E11" s="675"/>
      <c r="F11" s="675"/>
    </row>
    <row r="12" spans="1:6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</row>
    <row r="13" spans="1:6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</row>
    <row r="14" spans="1:6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</row>
    <row r="15" spans="1:6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</row>
    <row r="16" spans="1:6" s="669" customFormat="1" ht="12" customHeight="1">
      <c r="A16" s="673" t="s">
        <v>110</v>
      </c>
      <c r="B16" s="674" t="s">
        <v>279</v>
      </c>
      <c r="C16" s="677"/>
      <c r="D16" s="677"/>
      <c r="E16" s="677"/>
      <c r="F16" s="677"/>
    </row>
    <row r="17" spans="1:6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</row>
    <row r="18" spans="1:6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</row>
    <row r="19" spans="1:6" s="678" customFormat="1" ht="12" customHeight="1" thickBot="1">
      <c r="A19" s="673" t="s">
        <v>113</v>
      </c>
      <c r="B19" s="676" t="s">
        <v>281</v>
      </c>
      <c r="C19" s="679"/>
      <c r="D19" s="679"/>
      <c r="E19" s="679"/>
      <c r="F19" s="679"/>
    </row>
    <row r="20" spans="1:6" s="669" customFormat="1" ht="12" customHeight="1" thickBot="1">
      <c r="A20" s="660" t="s">
        <v>17</v>
      </c>
      <c r="B20" s="667" t="s">
        <v>399</v>
      </c>
      <c r="C20" s="668">
        <f>SUM(C21:C23)</f>
        <v>0</v>
      </c>
      <c r="D20" s="668">
        <f>SUM(D21:D23)</f>
        <v>0</v>
      </c>
      <c r="E20" s="668">
        <f>SUM(E21:E23)</f>
        <v>0</v>
      </c>
      <c r="F20" s="668">
        <f>SUM(F21:F23)</f>
        <v>0</v>
      </c>
    </row>
    <row r="21" spans="1:6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</row>
    <row r="22" spans="1:6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</row>
    <row r="23" spans="1:6" s="678" customFormat="1" ht="12" customHeight="1">
      <c r="A23" s="673" t="s">
        <v>103</v>
      </c>
      <c r="B23" s="674" t="s">
        <v>401</v>
      </c>
      <c r="C23" s="675"/>
      <c r="D23" s="675"/>
      <c r="E23" s="675"/>
      <c r="F23" s="675"/>
    </row>
    <row r="24" spans="1:6" s="678" customFormat="1" ht="12" customHeight="1" thickBot="1">
      <c r="A24" s="673" t="s">
        <v>104</v>
      </c>
      <c r="B24" s="674" t="s">
        <v>514</v>
      </c>
      <c r="C24" s="675"/>
      <c r="D24" s="675"/>
      <c r="E24" s="675"/>
      <c r="F24" s="675"/>
    </row>
    <row r="25" spans="1:6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</row>
    <row r="26" spans="1:6" s="678" customFormat="1" ht="12" customHeight="1" thickBot="1">
      <c r="A26" s="681" t="s">
        <v>19</v>
      </c>
      <c r="B26" s="682" t="s">
        <v>515</v>
      </c>
      <c r="C26" s="668">
        <f>+C27+C28+C29</f>
        <v>0</v>
      </c>
      <c r="D26" s="668">
        <f>+D27+D28+D29</f>
        <v>0</v>
      </c>
      <c r="E26" s="668">
        <f>+E27+E28+E29</f>
        <v>0</v>
      </c>
      <c r="F26" s="668">
        <f>+F27+F28+F29</f>
        <v>0</v>
      </c>
    </row>
    <row r="27" spans="1:6" s="678" customFormat="1" ht="12" customHeight="1">
      <c r="A27" s="684" t="s">
        <v>259</v>
      </c>
      <c r="B27" s="685" t="s">
        <v>254</v>
      </c>
      <c r="C27" s="686"/>
      <c r="D27" s="686"/>
      <c r="E27" s="686"/>
      <c r="F27" s="686"/>
    </row>
    <row r="28" spans="1:6" s="678" customFormat="1" ht="12" customHeight="1">
      <c r="A28" s="684" t="s">
        <v>262</v>
      </c>
      <c r="B28" s="685" t="s">
        <v>400</v>
      </c>
      <c r="C28" s="675"/>
      <c r="D28" s="675"/>
      <c r="E28" s="675"/>
      <c r="F28" s="675"/>
    </row>
    <row r="29" spans="1:6" s="678" customFormat="1" ht="12" customHeight="1">
      <c r="A29" s="684" t="s">
        <v>263</v>
      </c>
      <c r="B29" s="687" t="s">
        <v>403</v>
      </c>
      <c r="C29" s="675"/>
      <c r="D29" s="675"/>
      <c r="E29" s="675"/>
      <c r="F29" s="675"/>
    </row>
    <row r="30" spans="1:6" s="678" customFormat="1" ht="12" customHeight="1" thickBot="1">
      <c r="A30" s="673" t="s">
        <v>264</v>
      </c>
      <c r="B30" s="688" t="s">
        <v>516</v>
      </c>
      <c r="C30" s="689"/>
      <c r="D30" s="689"/>
      <c r="E30" s="689"/>
      <c r="F30" s="689"/>
    </row>
    <row r="31" spans="1:6" s="678" customFormat="1" ht="12" customHeight="1" thickBot="1">
      <c r="A31" s="681" t="s">
        <v>20</v>
      </c>
      <c r="B31" s="682" t="s">
        <v>404</v>
      </c>
      <c r="C31" s="668">
        <f>+C32+C33+C34</f>
        <v>0</v>
      </c>
      <c r="D31" s="668">
        <f>+D32+D33+D34</f>
        <v>0</v>
      </c>
      <c r="E31" s="668">
        <f>+E32+E33+E34</f>
        <v>0</v>
      </c>
      <c r="F31" s="668">
        <f>+F32+F33+F34</f>
        <v>0</v>
      </c>
    </row>
    <row r="32" spans="1:6" s="678" customFormat="1" ht="12" customHeight="1">
      <c r="A32" s="684" t="s">
        <v>88</v>
      </c>
      <c r="B32" s="685" t="s">
        <v>286</v>
      </c>
      <c r="C32" s="686"/>
      <c r="D32" s="686"/>
      <c r="E32" s="686"/>
      <c r="F32" s="686"/>
    </row>
    <row r="33" spans="1:6" s="678" customFormat="1" ht="12" customHeight="1">
      <c r="A33" s="684" t="s">
        <v>89</v>
      </c>
      <c r="B33" s="687" t="s">
        <v>287</v>
      </c>
      <c r="C33" s="690"/>
      <c r="D33" s="690"/>
      <c r="E33" s="690"/>
      <c r="F33" s="690"/>
    </row>
    <row r="34" spans="1:6" s="678" customFormat="1" ht="12" customHeight="1" thickBot="1">
      <c r="A34" s="673" t="s">
        <v>90</v>
      </c>
      <c r="B34" s="688" t="s">
        <v>288</v>
      </c>
      <c r="C34" s="689"/>
      <c r="D34" s="689"/>
      <c r="E34" s="689"/>
      <c r="F34" s="689"/>
    </row>
    <row r="35" spans="1:6" s="669" customFormat="1" ht="12" customHeight="1" thickBot="1">
      <c r="A35" s="681" t="s">
        <v>21</v>
      </c>
      <c r="B35" s="682" t="s">
        <v>373</v>
      </c>
      <c r="C35" s="683"/>
      <c r="D35" s="683"/>
      <c r="E35" s="683"/>
      <c r="F35" s="683"/>
    </row>
    <row r="36" spans="1:6" s="669" customFormat="1" ht="12" customHeight="1" thickBot="1">
      <c r="A36" s="681" t="s">
        <v>22</v>
      </c>
      <c r="B36" s="682" t="s">
        <v>405</v>
      </c>
      <c r="C36" s="691"/>
      <c r="D36" s="691"/>
      <c r="E36" s="691"/>
      <c r="F36" s="691"/>
    </row>
    <row r="37" spans="1:6" s="669" customFormat="1" ht="12" customHeight="1" thickBot="1">
      <c r="A37" s="660" t="s">
        <v>23</v>
      </c>
      <c r="B37" s="682" t="s">
        <v>406</v>
      </c>
      <c r="C37" s="692">
        <f>+C8+C20+C25+C26+C31+C35+C36</f>
        <v>0</v>
      </c>
      <c r="D37" s="692">
        <f>+D8+D20+D25+D26+D31+D35+D36</f>
        <v>0</v>
      </c>
      <c r="E37" s="692">
        <f>+E8+E20+E25+E26+E31+E35+E36</f>
        <v>0</v>
      </c>
      <c r="F37" s="692">
        <f>+F8+F20+F25+F26+F31+F35+F36</f>
        <v>0</v>
      </c>
    </row>
    <row r="38" spans="1:6" s="669" customFormat="1" ht="12" customHeight="1" thickBot="1">
      <c r="A38" s="693" t="s">
        <v>24</v>
      </c>
      <c r="B38" s="682" t="s">
        <v>407</v>
      </c>
      <c r="C38" s="692">
        <f>+C39+C40+C41</f>
        <v>0</v>
      </c>
      <c r="D38" s="692">
        <f>+D39+D40+D41</f>
        <v>0</v>
      </c>
      <c r="E38" s="692">
        <f>+E39+E40+E41</f>
        <v>0</v>
      </c>
      <c r="F38" s="692">
        <f>+F39+F40+F41</f>
        <v>0</v>
      </c>
    </row>
    <row r="39" spans="1:6" s="669" customFormat="1" ht="12" customHeight="1">
      <c r="A39" s="684" t="s">
        <v>408</v>
      </c>
      <c r="B39" s="685" t="s">
        <v>229</v>
      </c>
      <c r="C39" s="686"/>
      <c r="D39" s="686"/>
      <c r="E39" s="686"/>
      <c r="F39" s="686"/>
    </row>
    <row r="40" spans="1:6" s="669" customFormat="1" ht="12" customHeight="1">
      <c r="A40" s="684" t="s">
        <v>409</v>
      </c>
      <c r="B40" s="687" t="s">
        <v>2</v>
      </c>
      <c r="C40" s="690"/>
      <c r="D40" s="690"/>
      <c r="E40" s="690"/>
      <c r="F40" s="690"/>
    </row>
    <row r="41" spans="1:6" s="678" customFormat="1" ht="12" customHeight="1" thickBot="1">
      <c r="A41" s="673" t="s">
        <v>410</v>
      </c>
      <c r="B41" s="688" t="s">
        <v>411</v>
      </c>
      <c r="C41" s="689"/>
      <c r="D41" s="689"/>
      <c r="E41" s="689"/>
      <c r="F41" s="689"/>
    </row>
    <row r="42" spans="1:6" s="678" customFormat="1" ht="15" customHeight="1" thickBot="1">
      <c r="A42" s="693" t="s">
        <v>25</v>
      </c>
      <c r="B42" s="694" t="s">
        <v>412</v>
      </c>
      <c r="C42" s="695">
        <f>+C37+C38</f>
        <v>0</v>
      </c>
      <c r="D42" s="695">
        <f>+D37+D38</f>
        <v>0</v>
      </c>
      <c r="E42" s="695">
        <f>+E37+E38</f>
        <v>0</v>
      </c>
      <c r="F42" s="695">
        <f>+F37+F38</f>
        <v>0</v>
      </c>
    </row>
    <row r="43" spans="1:6" s="678" customFormat="1" ht="15" customHeight="1">
      <c r="A43" s="696"/>
      <c r="B43" s="697"/>
      <c r="C43" s="698"/>
      <c r="D43" s="698"/>
      <c r="E43" s="698"/>
      <c r="F43" s="698"/>
    </row>
    <row r="44" spans="1:6" ht="13.5" thickBot="1">
      <c r="A44" s="699"/>
      <c r="B44" s="700"/>
      <c r="C44" s="701"/>
      <c r="D44" s="701"/>
      <c r="E44" s="701"/>
      <c r="F44" s="701"/>
    </row>
    <row r="45" spans="1:6" s="663" customFormat="1" ht="16.5" customHeight="1" thickBot="1">
      <c r="A45" s="702"/>
      <c r="B45" s="703" t="s">
        <v>54</v>
      </c>
      <c r="C45" s="695"/>
      <c r="D45" s="695"/>
      <c r="E45" s="695"/>
      <c r="F45" s="695"/>
    </row>
    <row r="46" spans="1:6" s="704" customFormat="1" ht="12" customHeight="1" thickBot="1">
      <c r="A46" s="681" t="s">
        <v>16</v>
      </c>
      <c r="B46" s="682" t="s">
        <v>413</v>
      </c>
      <c r="C46" s="668">
        <f>SUM(C47:C51)</f>
        <v>0</v>
      </c>
      <c r="D46" s="668">
        <f>SUM(D47:D51)</f>
        <v>0</v>
      </c>
      <c r="E46" s="668">
        <f>SUM(E47:E51)</f>
        <v>0</v>
      </c>
      <c r="F46" s="668">
        <f>SUM(F47:F51)</f>
        <v>0</v>
      </c>
    </row>
    <row r="47" spans="1:6" ht="12" customHeight="1">
      <c r="A47" s="673" t="s">
        <v>95</v>
      </c>
      <c r="B47" s="680" t="s">
        <v>46</v>
      </c>
      <c r="C47" s="686"/>
      <c r="D47" s="686"/>
      <c r="E47" s="686"/>
      <c r="F47" s="686"/>
    </row>
    <row r="48" spans="1:6" ht="12" customHeight="1">
      <c r="A48" s="673" t="s">
        <v>96</v>
      </c>
      <c r="B48" s="674" t="s">
        <v>174</v>
      </c>
      <c r="C48" s="705"/>
      <c r="D48" s="705"/>
      <c r="E48" s="705"/>
      <c r="F48" s="705"/>
    </row>
    <row r="49" spans="1:6" ht="12" customHeight="1">
      <c r="A49" s="673" t="s">
        <v>97</v>
      </c>
      <c r="B49" s="674" t="s">
        <v>133</v>
      </c>
      <c r="C49" s="705"/>
      <c r="D49" s="705"/>
      <c r="E49" s="705"/>
      <c r="F49" s="705"/>
    </row>
    <row r="50" spans="1:6" ht="12" customHeight="1">
      <c r="A50" s="673" t="s">
        <v>98</v>
      </c>
      <c r="B50" s="674" t="s">
        <v>175</v>
      </c>
      <c r="C50" s="705"/>
      <c r="D50" s="705"/>
      <c r="E50" s="705"/>
      <c r="F50" s="705"/>
    </row>
    <row r="51" spans="1:6" ht="12" customHeight="1" thickBot="1">
      <c r="A51" s="673" t="s">
        <v>141</v>
      </c>
      <c r="B51" s="674" t="s">
        <v>176</v>
      </c>
      <c r="C51" s="705"/>
      <c r="D51" s="705"/>
      <c r="E51" s="705"/>
      <c r="F51" s="705"/>
    </row>
    <row r="52" spans="1:6" ht="12" customHeight="1" thickBot="1">
      <c r="A52" s="681" t="s">
        <v>17</v>
      </c>
      <c r="B52" s="682" t="s">
        <v>414</v>
      </c>
      <c r="C52" s="668">
        <f>SUM(C53:C55)</f>
        <v>0</v>
      </c>
      <c r="D52" s="668">
        <f>SUM(D53:D55)</f>
        <v>0</v>
      </c>
      <c r="E52" s="668">
        <f>SUM(E53:E55)</f>
        <v>0</v>
      </c>
      <c r="F52" s="668">
        <f>SUM(F53:F55)</f>
        <v>0</v>
      </c>
    </row>
    <row r="53" spans="1:6" s="704" customFormat="1" ht="12" customHeight="1">
      <c r="A53" s="673" t="s">
        <v>101</v>
      </c>
      <c r="B53" s="680" t="s">
        <v>219</v>
      </c>
      <c r="C53" s="686"/>
      <c r="D53" s="686"/>
      <c r="E53" s="686"/>
      <c r="F53" s="686"/>
    </row>
    <row r="54" spans="1:6" ht="12" customHeight="1">
      <c r="A54" s="673" t="s">
        <v>102</v>
      </c>
      <c r="B54" s="674" t="s">
        <v>178</v>
      </c>
      <c r="C54" s="705"/>
      <c r="D54" s="705"/>
      <c r="E54" s="705"/>
      <c r="F54" s="705"/>
    </row>
    <row r="55" spans="1:6" ht="12" customHeight="1">
      <c r="A55" s="673" t="s">
        <v>103</v>
      </c>
      <c r="B55" s="674" t="s">
        <v>55</v>
      </c>
      <c r="C55" s="705"/>
      <c r="D55" s="705"/>
      <c r="E55" s="705"/>
      <c r="F55" s="705"/>
    </row>
    <row r="56" spans="1:6" ht="12" customHeight="1" thickBot="1">
      <c r="A56" s="673" t="s">
        <v>104</v>
      </c>
      <c r="B56" s="674" t="s">
        <v>517</v>
      </c>
      <c r="C56" s="705"/>
      <c r="D56" s="705"/>
      <c r="E56" s="705"/>
      <c r="F56" s="705"/>
    </row>
    <row r="57" spans="1:6" ht="15" customHeight="1" thickBot="1">
      <c r="A57" s="681" t="s">
        <v>18</v>
      </c>
      <c r="B57" s="682" t="s">
        <v>12</v>
      </c>
      <c r="C57" s="683"/>
      <c r="D57" s="683"/>
      <c r="E57" s="683"/>
      <c r="F57" s="683"/>
    </row>
    <row r="58" spans="1:6" ht="13.5" thickBot="1">
      <c r="A58" s="681" t="s">
        <v>19</v>
      </c>
      <c r="B58" s="706" t="s">
        <v>522</v>
      </c>
      <c r="C58" s="707">
        <f>+C46+C52+C57</f>
        <v>0</v>
      </c>
      <c r="D58" s="707">
        <f>+D46+D52+D57</f>
        <v>0</v>
      </c>
      <c r="E58" s="707">
        <f>+E46+E52+E57</f>
        <v>0</v>
      </c>
      <c r="F58" s="707">
        <f>+F46+F52+F57</f>
        <v>0</v>
      </c>
    </row>
    <row r="59" spans="1:6" ht="15" customHeight="1" thickBot="1">
      <c r="C59" s="709"/>
      <c r="D59" s="709"/>
      <c r="E59" s="709"/>
      <c r="F59" s="709"/>
    </row>
    <row r="60" spans="1:6" ht="14.25" customHeight="1" thickBot="1">
      <c r="A60" s="710" t="s">
        <v>512</v>
      </c>
      <c r="B60" s="711"/>
      <c r="C60" s="712"/>
      <c r="D60" s="712"/>
      <c r="E60" s="712"/>
      <c r="F60" s="712"/>
    </row>
    <row r="61" spans="1:6" ht="13.5" thickBot="1">
      <c r="A61" s="710" t="s">
        <v>196</v>
      </c>
      <c r="B61" s="711"/>
      <c r="C61" s="712"/>
      <c r="D61" s="712"/>
      <c r="E61" s="712"/>
      <c r="F61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8"/>
  </sheetPr>
  <dimension ref="A1:F61"/>
  <sheetViews>
    <sheetView topLeftCell="B1"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6" width="25" style="659" customWidth="1"/>
    <col min="7" max="16384" width="9.33203125" style="659"/>
  </cols>
  <sheetData>
    <row r="1" spans="1:6" s="645" customFormat="1" ht="21" customHeight="1" thickBot="1">
      <c r="A1" s="643"/>
      <c r="B1" s="644" t="s">
        <v>799</v>
      </c>
      <c r="C1" s="644"/>
      <c r="D1" s="644"/>
      <c r="E1" s="644"/>
      <c r="F1" s="644"/>
    </row>
    <row r="2" spans="1:6" s="649" customFormat="1" ht="33" customHeight="1">
      <c r="A2" s="646" t="s">
        <v>194</v>
      </c>
      <c r="B2" s="647" t="s">
        <v>539</v>
      </c>
      <c r="C2" s="648" t="s">
        <v>56</v>
      </c>
      <c r="D2" s="648" t="s">
        <v>56</v>
      </c>
      <c r="E2" s="648" t="s">
        <v>56</v>
      </c>
      <c r="F2" s="648" t="s">
        <v>56</v>
      </c>
    </row>
    <row r="3" spans="1:6" s="649" customFormat="1" ht="24.75" thickBot="1">
      <c r="A3" s="650" t="s">
        <v>193</v>
      </c>
      <c r="B3" s="651" t="s">
        <v>523</v>
      </c>
      <c r="C3" s="652" t="s">
        <v>427</v>
      </c>
      <c r="D3" s="652" t="s">
        <v>427</v>
      </c>
      <c r="E3" s="652" t="s">
        <v>427</v>
      </c>
      <c r="F3" s="652" t="s">
        <v>427</v>
      </c>
    </row>
    <row r="4" spans="1:6" s="655" customFormat="1" ht="15.95" customHeight="1" thickBot="1">
      <c r="A4" s="653"/>
      <c r="B4" s="653"/>
      <c r="C4" s="654" t="s">
        <v>588</v>
      </c>
      <c r="D4" s="654" t="s">
        <v>588</v>
      </c>
      <c r="E4" s="654" t="s">
        <v>588</v>
      </c>
      <c r="F4" s="654" t="s">
        <v>588</v>
      </c>
    </row>
    <row r="5" spans="1:6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780</v>
      </c>
    </row>
    <row r="6" spans="1:6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</row>
    <row r="7" spans="1:6" s="663" customFormat="1" ht="15.95" customHeight="1" thickBot="1">
      <c r="A7" s="664"/>
      <c r="B7" s="665" t="s">
        <v>53</v>
      </c>
      <c r="C7" s="666"/>
      <c r="D7" s="666"/>
      <c r="E7" s="666"/>
      <c r="F7" s="666"/>
    </row>
    <row r="8" spans="1:6" s="669" customFormat="1" ht="12" customHeight="1" thickBot="1">
      <c r="A8" s="660" t="s">
        <v>16</v>
      </c>
      <c r="B8" s="667" t="s">
        <v>513</v>
      </c>
      <c r="C8" s="668">
        <f>SUM(C9:C19)</f>
        <v>0</v>
      </c>
      <c r="D8" s="668">
        <f>SUM(D9:D19)</f>
        <v>0</v>
      </c>
      <c r="E8" s="668">
        <f>SUM(E9:E19)</f>
        <v>0</v>
      </c>
      <c r="F8" s="668">
        <f>SUM(F9:F19)</f>
        <v>0</v>
      </c>
    </row>
    <row r="9" spans="1:6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</row>
    <row r="10" spans="1:6" s="669" customFormat="1" ht="12" customHeight="1">
      <c r="A10" s="673" t="s">
        <v>96</v>
      </c>
      <c r="B10" s="674" t="s">
        <v>273</v>
      </c>
      <c r="C10" s="675"/>
      <c r="D10" s="675"/>
      <c r="E10" s="675"/>
      <c r="F10" s="675"/>
    </row>
    <row r="11" spans="1:6" s="669" customFormat="1" ht="12" customHeight="1">
      <c r="A11" s="673" t="s">
        <v>97</v>
      </c>
      <c r="B11" s="674" t="s">
        <v>274</v>
      </c>
      <c r="C11" s="675"/>
      <c r="D11" s="675"/>
      <c r="E11" s="675"/>
      <c r="F11" s="675"/>
    </row>
    <row r="12" spans="1:6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</row>
    <row r="13" spans="1:6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</row>
    <row r="14" spans="1:6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</row>
    <row r="15" spans="1:6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</row>
    <row r="16" spans="1:6" s="669" customFormat="1" ht="12" customHeight="1">
      <c r="A16" s="673" t="s">
        <v>110</v>
      </c>
      <c r="B16" s="674" t="s">
        <v>279</v>
      </c>
      <c r="C16" s="677"/>
      <c r="D16" s="677"/>
      <c r="E16" s="677"/>
      <c r="F16" s="677"/>
    </row>
    <row r="17" spans="1:6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</row>
    <row r="18" spans="1:6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</row>
    <row r="19" spans="1:6" s="678" customFormat="1" ht="12" customHeight="1" thickBot="1">
      <c r="A19" s="673" t="s">
        <v>113</v>
      </c>
      <c r="B19" s="676" t="s">
        <v>281</v>
      </c>
      <c r="C19" s="679"/>
      <c r="D19" s="679"/>
      <c r="E19" s="679"/>
      <c r="F19" s="679"/>
    </row>
    <row r="20" spans="1:6" s="669" customFormat="1" ht="12" customHeight="1" thickBot="1">
      <c r="A20" s="660" t="s">
        <v>17</v>
      </c>
      <c r="B20" s="667" t="s">
        <v>399</v>
      </c>
      <c r="C20" s="668">
        <f>SUM(C21:C23)</f>
        <v>0</v>
      </c>
      <c r="D20" s="668">
        <f>SUM(D21:D23)</f>
        <v>0</v>
      </c>
      <c r="E20" s="668">
        <f>SUM(E21:E23)</f>
        <v>0</v>
      </c>
      <c r="F20" s="668">
        <f>SUM(F21:F23)</f>
        <v>0</v>
      </c>
    </row>
    <row r="21" spans="1:6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</row>
    <row r="22" spans="1:6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</row>
    <row r="23" spans="1:6" s="678" customFormat="1" ht="12" customHeight="1">
      <c r="A23" s="673" t="s">
        <v>103</v>
      </c>
      <c r="B23" s="674" t="s">
        <v>401</v>
      </c>
      <c r="C23" s="675"/>
      <c r="D23" s="675"/>
      <c r="E23" s="675"/>
      <c r="F23" s="675"/>
    </row>
    <row r="24" spans="1:6" s="678" customFormat="1" ht="12" customHeight="1" thickBot="1">
      <c r="A24" s="673" t="s">
        <v>104</v>
      </c>
      <c r="B24" s="674" t="s">
        <v>514</v>
      </c>
      <c r="C24" s="675"/>
      <c r="D24" s="675"/>
      <c r="E24" s="675"/>
      <c r="F24" s="675"/>
    </row>
    <row r="25" spans="1:6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</row>
    <row r="26" spans="1:6" s="678" customFormat="1" ht="12" customHeight="1" thickBot="1">
      <c r="A26" s="681" t="s">
        <v>19</v>
      </c>
      <c r="B26" s="682" t="s">
        <v>515</v>
      </c>
      <c r="C26" s="668">
        <f>+C27+C28+C29</f>
        <v>0</v>
      </c>
      <c r="D26" s="668">
        <f>+D27+D28+D29</f>
        <v>0</v>
      </c>
      <c r="E26" s="668">
        <f>+E27+E28+E29</f>
        <v>0</v>
      </c>
      <c r="F26" s="668">
        <f>+F27+F28+F29</f>
        <v>0</v>
      </c>
    </row>
    <row r="27" spans="1:6" s="678" customFormat="1" ht="12" customHeight="1">
      <c r="A27" s="684" t="s">
        <v>259</v>
      </c>
      <c r="B27" s="685" t="s">
        <v>254</v>
      </c>
      <c r="C27" s="686"/>
      <c r="D27" s="686"/>
      <c r="E27" s="686"/>
      <c r="F27" s="686"/>
    </row>
    <row r="28" spans="1:6" s="678" customFormat="1" ht="12" customHeight="1">
      <c r="A28" s="684" t="s">
        <v>262</v>
      </c>
      <c r="B28" s="685" t="s">
        <v>400</v>
      </c>
      <c r="C28" s="675"/>
      <c r="D28" s="675"/>
      <c r="E28" s="675"/>
      <c r="F28" s="675"/>
    </row>
    <row r="29" spans="1:6" s="678" customFormat="1" ht="12" customHeight="1">
      <c r="A29" s="684" t="s">
        <v>263</v>
      </c>
      <c r="B29" s="687" t="s">
        <v>403</v>
      </c>
      <c r="C29" s="675"/>
      <c r="D29" s="675"/>
      <c r="E29" s="675"/>
      <c r="F29" s="675"/>
    </row>
    <row r="30" spans="1:6" s="678" customFormat="1" ht="12" customHeight="1" thickBot="1">
      <c r="A30" s="673" t="s">
        <v>264</v>
      </c>
      <c r="B30" s="688" t="s">
        <v>516</v>
      </c>
      <c r="C30" s="689"/>
      <c r="D30" s="689"/>
      <c r="E30" s="689"/>
      <c r="F30" s="689"/>
    </row>
    <row r="31" spans="1:6" s="678" customFormat="1" ht="12" customHeight="1" thickBot="1">
      <c r="A31" s="681" t="s">
        <v>20</v>
      </c>
      <c r="B31" s="682" t="s">
        <v>404</v>
      </c>
      <c r="C31" s="668">
        <f>+C32+C33+C34</f>
        <v>0</v>
      </c>
      <c r="D31" s="668">
        <f>+D32+D33+D34</f>
        <v>0</v>
      </c>
      <c r="E31" s="668">
        <f>+E32+E33+E34</f>
        <v>0</v>
      </c>
      <c r="F31" s="668">
        <f>+F32+F33+F34</f>
        <v>0</v>
      </c>
    </row>
    <row r="32" spans="1:6" s="678" customFormat="1" ht="12" customHeight="1">
      <c r="A32" s="684" t="s">
        <v>88</v>
      </c>
      <c r="B32" s="685" t="s">
        <v>286</v>
      </c>
      <c r="C32" s="686"/>
      <c r="D32" s="686"/>
      <c r="E32" s="686"/>
      <c r="F32" s="686"/>
    </row>
    <row r="33" spans="1:6" s="678" customFormat="1" ht="12" customHeight="1">
      <c r="A33" s="684" t="s">
        <v>89</v>
      </c>
      <c r="B33" s="687" t="s">
        <v>287</v>
      </c>
      <c r="C33" s="690"/>
      <c r="D33" s="690"/>
      <c r="E33" s="690"/>
      <c r="F33" s="690"/>
    </row>
    <row r="34" spans="1:6" s="678" customFormat="1" ht="12" customHeight="1" thickBot="1">
      <c r="A34" s="673" t="s">
        <v>90</v>
      </c>
      <c r="B34" s="688" t="s">
        <v>288</v>
      </c>
      <c r="C34" s="689"/>
      <c r="D34" s="689"/>
      <c r="E34" s="689"/>
      <c r="F34" s="689"/>
    </row>
    <row r="35" spans="1:6" s="669" customFormat="1" ht="12" customHeight="1" thickBot="1">
      <c r="A35" s="681" t="s">
        <v>21</v>
      </c>
      <c r="B35" s="682" t="s">
        <v>373</v>
      </c>
      <c r="C35" s="683"/>
      <c r="D35" s="683"/>
      <c r="E35" s="683"/>
      <c r="F35" s="683"/>
    </row>
    <row r="36" spans="1:6" s="669" customFormat="1" ht="12" customHeight="1" thickBot="1">
      <c r="A36" s="681" t="s">
        <v>22</v>
      </c>
      <c r="B36" s="682" t="s">
        <v>405</v>
      </c>
      <c r="C36" s="691"/>
      <c r="D36" s="691"/>
      <c r="E36" s="691"/>
      <c r="F36" s="691"/>
    </row>
    <row r="37" spans="1:6" s="669" customFormat="1" ht="12" customHeight="1" thickBot="1">
      <c r="A37" s="660" t="s">
        <v>23</v>
      </c>
      <c r="B37" s="682" t="s">
        <v>406</v>
      </c>
      <c r="C37" s="692">
        <f>+C8+C20+C25+C26+C31+C35+C36</f>
        <v>0</v>
      </c>
      <c r="D37" s="692">
        <f>+D8+D20+D25+D26+D31+D35+D36</f>
        <v>0</v>
      </c>
      <c r="E37" s="692">
        <f>+E8+E20+E25+E26+E31+E35+E36</f>
        <v>0</v>
      </c>
      <c r="F37" s="692">
        <f>+F8+F20+F25+F26+F31+F35+F36</f>
        <v>0</v>
      </c>
    </row>
    <row r="38" spans="1:6" s="669" customFormat="1" ht="12" customHeight="1" thickBot="1">
      <c r="A38" s="693" t="s">
        <v>24</v>
      </c>
      <c r="B38" s="682" t="s">
        <v>407</v>
      </c>
      <c r="C38" s="692">
        <f>+C39+C40+C41</f>
        <v>0</v>
      </c>
      <c r="D38" s="692">
        <f>+D39+D40+D41</f>
        <v>0</v>
      </c>
      <c r="E38" s="692">
        <f>+E39+E40+E41</f>
        <v>0</v>
      </c>
      <c r="F38" s="692">
        <f>+F39+F40+F41</f>
        <v>0</v>
      </c>
    </row>
    <row r="39" spans="1:6" s="669" customFormat="1" ht="12" customHeight="1">
      <c r="A39" s="684" t="s">
        <v>408</v>
      </c>
      <c r="B39" s="685" t="s">
        <v>229</v>
      </c>
      <c r="C39" s="686"/>
      <c r="D39" s="686"/>
      <c r="E39" s="686"/>
      <c r="F39" s="686"/>
    </row>
    <row r="40" spans="1:6" s="669" customFormat="1" ht="12" customHeight="1">
      <c r="A40" s="684" t="s">
        <v>409</v>
      </c>
      <c r="B40" s="687" t="s">
        <v>2</v>
      </c>
      <c r="C40" s="690"/>
      <c r="D40" s="690"/>
      <c r="E40" s="690"/>
      <c r="F40" s="690"/>
    </row>
    <row r="41" spans="1:6" s="678" customFormat="1" ht="12" customHeight="1" thickBot="1">
      <c r="A41" s="673" t="s">
        <v>410</v>
      </c>
      <c r="B41" s="688" t="s">
        <v>411</v>
      </c>
      <c r="C41" s="689"/>
      <c r="D41" s="689"/>
      <c r="E41" s="689"/>
      <c r="F41" s="689"/>
    </row>
    <row r="42" spans="1:6" s="678" customFormat="1" ht="15" customHeight="1" thickBot="1">
      <c r="A42" s="693" t="s">
        <v>25</v>
      </c>
      <c r="B42" s="694" t="s">
        <v>412</v>
      </c>
      <c r="C42" s="695">
        <f>+C37+C38</f>
        <v>0</v>
      </c>
      <c r="D42" s="695">
        <f>+D37+D38</f>
        <v>0</v>
      </c>
      <c r="E42" s="695">
        <f>+E37+E38</f>
        <v>0</v>
      </c>
      <c r="F42" s="695">
        <f>+F37+F38</f>
        <v>0</v>
      </c>
    </row>
    <row r="43" spans="1:6" s="678" customFormat="1" ht="15" customHeight="1">
      <c r="A43" s="696"/>
      <c r="B43" s="697"/>
      <c r="C43" s="698"/>
      <c r="D43" s="698"/>
      <c r="E43" s="698"/>
      <c r="F43" s="698"/>
    </row>
    <row r="44" spans="1:6" ht="13.5" thickBot="1">
      <c r="A44" s="699"/>
      <c r="B44" s="700"/>
      <c r="C44" s="701"/>
      <c r="D44" s="701"/>
      <c r="E44" s="701"/>
      <c r="F44" s="701"/>
    </row>
    <row r="45" spans="1:6" s="663" customFormat="1" ht="16.5" customHeight="1" thickBot="1">
      <c r="A45" s="702"/>
      <c r="B45" s="703" t="s">
        <v>54</v>
      </c>
      <c r="C45" s="695"/>
      <c r="D45" s="695"/>
      <c r="E45" s="695"/>
      <c r="F45" s="695"/>
    </row>
    <row r="46" spans="1:6" s="704" customFormat="1" ht="12" customHeight="1" thickBot="1">
      <c r="A46" s="681" t="s">
        <v>16</v>
      </c>
      <c r="B46" s="682" t="s">
        <v>413</v>
      </c>
      <c r="C46" s="668">
        <f>SUM(C47:C51)</f>
        <v>0</v>
      </c>
      <c r="D46" s="668">
        <f>SUM(D47:D51)</f>
        <v>0</v>
      </c>
      <c r="E46" s="668">
        <f>SUM(E47:E51)</f>
        <v>0</v>
      </c>
      <c r="F46" s="668">
        <f>SUM(F47:F51)</f>
        <v>0</v>
      </c>
    </row>
    <row r="47" spans="1:6" ht="12" customHeight="1">
      <c r="A47" s="673" t="s">
        <v>95</v>
      </c>
      <c r="B47" s="680" t="s">
        <v>46</v>
      </c>
      <c r="C47" s="686"/>
      <c r="D47" s="686"/>
      <c r="E47" s="686"/>
      <c r="F47" s="686"/>
    </row>
    <row r="48" spans="1:6" ht="12" customHeight="1">
      <c r="A48" s="673" t="s">
        <v>96</v>
      </c>
      <c r="B48" s="674" t="s">
        <v>174</v>
      </c>
      <c r="C48" s="705"/>
      <c r="D48" s="705"/>
      <c r="E48" s="705"/>
      <c r="F48" s="705"/>
    </row>
    <row r="49" spans="1:6" ht="12" customHeight="1">
      <c r="A49" s="673" t="s">
        <v>97</v>
      </c>
      <c r="B49" s="674" t="s">
        <v>133</v>
      </c>
      <c r="C49" s="705"/>
      <c r="D49" s="705"/>
      <c r="E49" s="705"/>
      <c r="F49" s="705"/>
    </row>
    <row r="50" spans="1:6" ht="12" customHeight="1">
      <c r="A50" s="673" t="s">
        <v>98</v>
      </c>
      <c r="B50" s="674" t="s">
        <v>175</v>
      </c>
      <c r="C50" s="705"/>
      <c r="D50" s="705"/>
      <c r="E50" s="705"/>
      <c r="F50" s="705"/>
    </row>
    <row r="51" spans="1:6" ht="12" customHeight="1" thickBot="1">
      <c r="A51" s="673" t="s">
        <v>141</v>
      </c>
      <c r="B51" s="674" t="s">
        <v>176</v>
      </c>
      <c r="C51" s="705"/>
      <c r="D51" s="705"/>
      <c r="E51" s="705"/>
      <c r="F51" s="705"/>
    </row>
    <row r="52" spans="1:6" ht="12" customHeight="1" thickBot="1">
      <c r="A52" s="681" t="s">
        <v>17</v>
      </c>
      <c r="B52" s="682" t="s">
        <v>414</v>
      </c>
      <c r="C52" s="668">
        <f>SUM(C53:C55)</f>
        <v>0</v>
      </c>
      <c r="D52" s="668">
        <f>SUM(D53:D55)</f>
        <v>0</v>
      </c>
      <c r="E52" s="668">
        <f>SUM(E53:E55)</f>
        <v>0</v>
      </c>
      <c r="F52" s="668">
        <f>SUM(F53:F55)</f>
        <v>0</v>
      </c>
    </row>
    <row r="53" spans="1:6" s="704" customFormat="1" ht="12" customHeight="1">
      <c r="A53" s="673" t="s">
        <v>101</v>
      </c>
      <c r="B53" s="680" t="s">
        <v>219</v>
      </c>
      <c r="C53" s="686"/>
      <c r="D53" s="686"/>
      <c r="E53" s="686"/>
      <c r="F53" s="686"/>
    </row>
    <row r="54" spans="1:6" ht="12" customHeight="1">
      <c r="A54" s="673" t="s">
        <v>102</v>
      </c>
      <c r="B54" s="674" t="s">
        <v>178</v>
      </c>
      <c r="C54" s="705"/>
      <c r="D54" s="705"/>
      <c r="E54" s="705"/>
      <c r="F54" s="705"/>
    </row>
    <row r="55" spans="1:6" ht="12" customHeight="1">
      <c r="A55" s="673" t="s">
        <v>103</v>
      </c>
      <c r="B55" s="674" t="s">
        <v>55</v>
      </c>
      <c r="C55" s="705"/>
      <c r="D55" s="705"/>
      <c r="E55" s="705"/>
      <c r="F55" s="705"/>
    </row>
    <row r="56" spans="1:6" ht="12" customHeight="1" thickBot="1">
      <c r="A56" s="673" t="s">
        <v>104</v>
      </c>
      <c r="B56" s="674" t="s">
        <v>517</v>
      </c>
      <c r="C56" s="705"/>
      <c r="D56" s="705"/>
      <c r="E56" s="705"/>
      <c r="F56" s="705"/>
    </row>
    <row r="57" spans="1:6" ht="15" customHeight="1" thickBot="1">
      <c r="A57" s="681" t="s">
        <v>18</v>
      </c>
      <c r="B57" s="682" t="s">
        <v>12</v>
      </c>
      <c r="C57" s="683"/>
      <c r="D57" s="683"/>
      <c r="E57" s="683"/>
      <c r="F57" s="683"/>
    </row>
    <row r="58" spans="1:6" ht="13.5" thickBot="1">
      <c r="A58" s="681" t="s">
        <v>19</v>
      </c>
      <c r="B58" s="706" t="s">
        <v>522</v>
      </c>
      <c r="C58" s="707">
        <f>+C46+C52+C57</f>
        <v>0</v>
      </c>
      <c r="D58" s="707">
        <f>+D46+D52+D57</f>
        <v>0</v>
      </c>
      <c r="E58" s="707">
        <f>+E46+E52+E57</f>
        <v>0</v>
      </c>
      <c r="F58" s="707">
        <f>+F46+F52+F57</f>
        <v>0</v>
      </c>
    </row>
    <row r="59" spans="1:6" ht="15" customHeight="1" thickBot="1">
      <c r="C59" s="709"/>
      <c r="D59" s="709"/>
      <c r="E59" s="709"/>
      <c r="F59" s="709"/>
    </row>
    <row r="60" spans="1:6" ht="14.25" customHeight="1" thickBot="1">
      <c r="A60" s="710" t="s">
        <v>512</v>
      </c>
      <c r="B60" s="711"/>
      <c r="C60" s="712"/>
      <c r="D60" s="712"/>
      <c r="E60" s="712"/>
      <c r="F60" s="712"/>
    </row>
    <row r="61" spans="1:6" ht="13.5" thickBot="1">
      <c r="A61" s="710" t="s">
        <v>196</v>
      </c>
      <c r="B61" s="711"/>
      <c r="C61" s="712"/>
      <c r="D61" s="712"/>
      <c r="E61" s="712"/>
      <c r="F61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G60"/>
  <sheetViews>
    <sheetView zoomScaleNormal="100" workbookViewId="0">
      <selection activeCell="B1" sqref="B1"/>
    </sheetView>
  </sheetViews>
  <sheetFormatPr defaultRowHeight="12.75"/>
  <cols>
    <col min="1" max="1" width="13.83203125" style="708" customWidth="1"/>
    <col min="2" max="2" width="79.1640625" style="659" customWidth="1"/>
    <col min="3" max="7" width="25" style="659" customWidth="1"/>
    <col min="8" max="16384" width="9.33203125" style="659"/>
  </cols>
  <sheetData>
    <row r="1" spans="1:7" s="645" customFormat="1" ht="21" customHeight="1" thickBot="1">
      <c r="A1" s="643"/>
      <c r="B1" s="644" t="e">
        <f>+CONCATENATE("9.3. melléklet a ……/",LEFT([1]ÖSSZEFÜGGÉSEK!E5,4),". (….) önkormányzati rendelethez")</f>
        <v>#REF!</v>
      </c>
      <c r="C1" s="644"/>
      <c r="D1" s="644"/>
      <c r="E1" s="644"/>
      <c r="F1" s="644"/>
      <c r="G1" s="644"/>
    </row>
    <row r="2" spans="1:7" s="649" customFormat="1" ht="33.75" customHeight="1">
      <c r="A2" s="646" t="s">
        <v>194</v>
      </c>
      <c r="B2" s="647" t="s">
        <v>540</v>
      </c>
      <c r="C2" s="648" t="s">
        <v>57</v>
      </c>
      <c r="D2" s="648" t="s">
        <v>57</v>
      </c>
      <c r="E2" s="648" t="s">
        <v>57</v>
      </c>
      <c r="F2" s="648" t="s">
        <v>57</v>
      </c>
      <c r="G2" s="648" t="s">
        <v>57</v>
      </c>
    </row>
    <row r="3" spans="1:7" s="649" customFormat="1" ht="24.75" thickBot="1">
      <c r="A3" s="650" t="s">
        <v>193</v>
      </c>
      <c r="B3" s="651" t="s">
        <v>396</v>
      </c>
      <c r="C3" s="652" t="s">
        <v>51</v>
      </c>
      <c r="D3" s="652" t="s">
        <v>51</v>
      </c>
      <c r="E3" s="652" t="s">
        <v>51</v>
      </c>
      <c r="F3" s="652" t="s">
        <v>51</v>
      </c>
      <c r="G3" s="652" t="s">
        <v>51</v>
      </c>
    </row>
    <row r="4" spans="1:7" s="655" customFormat="1" ht="15.95" customHeight="1" thickBot="1">
      <c r="A4" s="653"/>
      <c r="B4" s="653"/>
      <c r="C4" s="654" t="s">
        <v>599</v>
      </c>
      <c r="D4" s="654" t="s">
        <v>599</v>
      </c>
      <c r="E4" s="654" t="s">
        <v>599</v>
      </c>
      <c r="F4" s="654" t="s">
        <v>599</v>
      </c>
      <c r="G4" s="654" t="s">
        <v>599</v>
      </c>
    </row>
    <row r="5" spans="1:7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773</v>
      </c>
      <c r="G5" s="658" t="s">
        <v>780</v>
      </c>
    </row>
    <row r="6" spans="1:7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  <c r="G6" s="662" t="s">
        <v>487</v>
      </c>
    </row>
    <row r="7" spans="1:7" s="663" customFormat="1" ht="15.95" customHeight="1" thickBot="1">
      <c r="A7" s="664"/>
      <c r="B7" s="665" t="s">
        <v>53</v>
      </c>
      <c r="C7" s="666"/>
      <c r="D7" s="666"/>
      <c r="E7" s="666"/>
      <c r="F7" s="666"/>
      <c r="G7" s="666"/>
    </row>
    <row r="8" spans="1:7" s="669" customFormat="1" ht="12" customHeight="1" thickBot="1">
      <c r="A8" s="660" t="s">
        <v>16</v>
      </c>
      <c r="B8" s="667" t="s">
        <v>513</v>
      </c>
      <c r="C8" s="668">
        <f>SUM(C9:C19)</f>
        <v>2521100</v>
      </c>
      <c r="D8" s="668">
        <f>SUM(D9:D19)</f>
        <v>2540100</v>
      </c>
      <c r="E8" s="668">
        <f>SUM(E9:E19)</f>
        <v>3150100</v>
      </c>
      <c r="F8" s="668">
        <f>SUM(F9:F19)</f>
        <v>3165100</v>
      </c>
      <c r="G8" s="668">
        <f>SUM(G9:G19)</f>
        <v>3190100</v>
      </c>
    </row>
    <row r="9" spans="1:7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  <c r="G9" s="672"/>
    </row>
    <row r="10" spans="1:7" s="669" customFormat="1" ht="12" customHeight="1">
      <c r="A10" s="673" t="s">
        <v>96</v>
      </c>
      <c r="B10" s="674" t="s">
        <v>273</v>
      </c>
      <c r="C10" s="675">
        <v>2120000</v>
      </c>
      <c r="D10" s="675">
        <v>2120000</v>
      </c>
      <c r="E10" s="675">
        <f>2120000+600000</f>
        <v>2720000</v>
      </c>
      <c r="F10" s="675">
        <f>2120000+600000</f>
        <v>2720000</v>
      </c>
      <c r="G10" s="675">
        <f>2120000+600000+25000</f>
        <v>2745000</v>
      </c>
    </row>
    <row r="11" spans="1:7" s="669" customFormat="1" ht="12" customHeight="1">
      <c r="A11" s="673" t="s">
        <v>97</v>
      </c>
      <c r="B11" s="674" t="s">
        <v>274</v>
      </c>
      <c r="C11" s="675">
        <f>110000+290000</f>
        <v>400000</v>
      </c>
      <c r="D11" s="675">
        <f>110000+290000</f>
        <v>400000</v>
      </c>
      <c r="E11" s="675">
        <f>110000+290000</f>
        <v>400000</v>
      </c>
      <c r="F11" s="675">
        <f>110000+290000</f>
        <v>400000</v>
      </c>
      <c r="G11" s="675">
        <f>110000+290000</f>
        <v>400000</v>
      </c>
    </row>
    <row r="12" spans="1:7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  <c r="G12" s="675"/>
    </row>
    <row r="13" spans="1:7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  <c r="G13" s="675"/>
    </row>
    <row r="14" spans="1:7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  <c r="G14" s="675"/>
    </row>
    <row r="15" spans="1:7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  <c r="G15" s="675"/>
    </row>
    <row r="16" spans="1:7" s="669" customFormat="1" ht="12" customHeight="1">
      <c r="A16" s="673" t="s">
        <v>110</v>
      </c>
      <c r="B16" s="674" t="s">
        <v>279</v>
      </c>
      <c r="C16" s="677">
        <v>100</v>
      </c>
      <c r="D16" s="677">
        <v>100</v>
      </c>
      <c r="E16" s="677">
        <v>100</v>
      </c>
      <c r="F16" s="677">
        <v>100</v>
      </c>
      <c r="G16" s="677">
        <v>100</v>
      </c>
    </row>
    <row r="17" spans="1:7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  <c r="G17" s="675"/>
    </row>
    <row r="18" spans="1:7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  <c r="G18" s="679"/>
    </row>
    <row r="19" spans="1:7" s="678" customFormat="1" ht="12" customHeight="1" thickBot="1">
      <c r="A19" s="673" t="s">
        <v>113</v>
      </c>
      <c r="B19" s="676" t="s">
        <v>281</v>
      </c>
      <c r="C19" s="679">
        <v>1000</v>
      </c>
      <c r="D19" s="679">
        <f>1000+19000</f>
        <v>20000</v>
      </c>
      <c r="E19" s="679">
        <f>1000+19000+10000</f>
        <v>30000</v>
      </c>
      <c r="F19" s="679">
        <f>30000+15000</f>
        <v>45000</v>
      </c>
      <c r="G19" s="679">
        <f>30000+15000</f>
        <v>45000</v>
      </c>
    </row>
    <row r="20" spans="1:7" s="669" customFormat="1" ht="12" customHeight="1" thickBot="1">
      <c r="A20" s="660" t="s">
        <v>17</v>
      </c>
      <c r="B20" s="667" t="s">
        <v>399</v>
      </c>
      <c r="C20" s="668">
        <f>SUM(C21:C23)</f>
        <v>1000000</v>
      </c>
      <c r="D20" s="668">
        <f>SUM(D21:D23)</f>
        <v>1000000</v>
      </c>
      <c r="E20" s="668">
        <f>SUM(E21:E23)</f>
        <v>2171362</v>
      </c>
      <c r="F20" s="668">
        <f>SUM(F21:F23)</f>
        <v>2171362</v>
      </c>
      <c r="G20" s="668">
        <f>SUM(G21:G23)</f>
        <v>2171362</v>
      </c>
    </row>
    <row r="21" spans="1:7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  <c r="G21" s="675"/>
    </row>
    <row r="22" spans="1:7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  <c r="G22" s="675"/>
    </row>
    <row r="23" spans="1:7" s="678" customFormat="1" ht="12" customHeight="1">
      <c r="A23" s="673" t="s">
        <v>103</v>
      </c>
      <c r="B23" s="674" t="s">
        <v>401</v>
      </c>
      <c r="C23" s="675">
        <v>1000000</v>
      </c>
      <c r="D23" s="675">
        <v>1000000</v>
      </c>
      <c r="E23" s="675">
        <f>1000000+1171362</f>
        <v>2171362</v>
      </c>
      <c r="F23" s="675">
        <f>1000000+1171362</f>
        <v>2171362</v>
      </c>
      <c r="G23" s="675">
        <f>1000000+1171362</f>
        <v>2171362</v>
      </c>
    </row>
    <row r="24" spans="1:7" s="678" customFormat="1" ht="12" customHeight="1" thickBot="1">
      <c r="A24" s="673" t="s">
        <v>104</v>
      </c>
      <c r="B24" s="674" t="s">
        <v>518</v>
      </c>
      <c r="C24" s="675"/>
      <c r="D24" s="675"/>
      <c r="E24" s="675"/>
      <c r="F24" s="675"/>
      <c r="G24" s="675"/>
    </row>
    <row r="25" spans="1:7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  <c r="G25" s="683"/>
    </row>
    <row r="26" spans="1:7" s="678" customFormat="1" ht="12" customHeight="1" thickBot="1">
      <c r="A26" s="681" t="s">
        <v>19</v>
      </c>
      <c r="B26" s="682" t="s">
        <v>402</v>
      </c>
      <c r="C26" s="668">
        <f>+C27+C28</f>
        <v>0</v>
      </c>
      <c r="D26" s="668">
        <f>+D27+D28</f>
        <v>0</v>
      </c>
      <c r="E26" s="668">
        <f>+E27+E28</f>
        <v>0</v>
      </c>
      <c r="F26" s="668">
        <f>+F27+F28</f>
        <v>0</v>
      </c>
      <c r="G26" s="668">
        <f>+G27+G28</f>
        <v>0</v>
      </c>
    </row>
    <row r="27" spans="1:7" s="678" customFormat="1" ht="12" customHeight="1">
      <c r="A27" s="684" t="s">
        <v>259</v>
      </c>
      <c r="B27" s="685" t="s">
        <v>400</v>
      </c>
      <c r="C27" s="686"/>
      <c r="D27" s="686"/>
      <c r="E27" s="686"/>
      <c r="F27" s="686"/>
      <c r="G27" s="686"/>
    </row>
    <row r="28" spans="1:7" s="678" customFormat="1" ht="12" customHeight="1">
      <c r="A28" s="684" t="s">
        <v>262</v>
      </c>
      <c r="B28" s="687" t="s">
        <v>403</v>
      </c>
      <c r="C28" s="690"/>
      <c r="D28" s="690"/>
      <c r="E28" s="690"/>
      <c r="F28" s="690"/>
      <c r="G28" s="690"/>
    </row>
    <row r="29" spans="1:7" s="678" customFormat="1" ht="12" customHeight="1" thickBot="1">
      <c r="A29" s="673" t="s">
        <v>263</v>
      </c>
      <c r="B29" s="688" t="s">
        <v>519</v>
      </c>
      <c r="C29" s="689"/>
      <c r="D29" s="689"/>
      <c r="E29" s="689"/>
      <c r="F29" s="689"/>
      <c r="G29" s="689"/>
    </row>
    <row r="30" spans="1:7" s="678" customFormat="1" ht="12" customHeight="1" thickBot="1">
      <c r="A30" s="681" t="s">
        <v>20</v>
      </c>
      <c r="B30" s="682" t="s">
        <v>404</v>
      </c>
      <c r="C30" s="668">
        <f>+C31+C32+C33</f>
        <v>0</v>
      </c>
      <c r="D30" s="668">
        <f>+D31+D32+D33</f>
        <v>0</v>
      </c>
      <c r="E30" s="668">
        <f>+E31+E32+E33</f>
        <v>0</v>
      </c>
      <c r="F30" s="668">
        <f>+F31+F32+F33</f>
        <v>0</v>
      </c>
      <c r="G30" s="668">
        <f>+G31+G32+G33</f>
        <v>0</v>
      </c>
    </row>
    <row r="31" spans="1:7" s="678" customFormat="1" ht="12" customHeight="1">
      <c r="A31" s="684" t="s">
        <v>88</v>
      </c>
      <c r="B31" s="685" t="s">
        <v>286</v>
      </c>
      <c r="C31" s="686"/>
      <c r="D31" s="686"/>
      <c r="E31" s="686"/>
      <c r="F31" s="686"/>
      <c r="G31" s="686"/>
    </row>
    <row r="32" spans="1:7" s="678" customFormat="1" ht="12" customHeight="1">
      <c r="A32" s="684" t="s">
        <v>89</v>
      </c>
      <c r="B32" s="687" t="s">
        <v>287</v>
      </c>
      <c r="C32" s="690"/>
      <c r="D32" s="690"/>
      <c r="E32" s="690"/>
      <c r="F32" s="690"/>
      <c r="G32" s="690"/>
    </row>
    <row r="33" spans="1:7" s="678" customFormat="1" ht="12" customHeight="1" thickBot="1">
      <c r="A33" s="673" t="s">
        <v>90</v>
      </c>
      <c r="B33" s="688" t="s">
        <v>288</v>
      </c>
      <c r="C33" s="689"/>
      <c r="D33" s="689"/>
      <c r="E33" s="689"/>
      <c r="F33" s="689"/>
      <c r="G33" s="689"/>
    </row>
    <row r="34" spans="1:7" s="669" customFormat="1" ht="12" customHeight="1" thickBot="1">
      <c r="A34" s="681" t="s">
        <v>21</v>
      </c>
      <c r="B34" s="682" t="s">
        <v>373</v>
      </c>
      <c r="C34" s="683"/>
      <c r="D34" s="683"/>
      <c r="E34" s="683"/>
      <c r="F34" s="683"/>
      <c r="G34" s="683"/>
    </row>
    <row r="35" spans="1:7" s="669" customFormat="1" ht="12" customHeight="1" thickBot="1">
      <c r="A35" s="681" t="s">
        <v>22</v>
      </c>
      <c r="B35" s="682" t="s">
        <v>405</v>
      </c>
      <c r="C35" s="691"/>
      <c r="D35" s="691"/>
      <c r="E35" s="691"/>
      <c r="F35" s="691"/>
      <c r="G35" s="691"/>
    </row>
    <row r="36" spans="1:7" s="669" customFormat="1" ht="12" customHeight="1" thickBot="1">
      <c r="A36" s="660" t="s">
        <v>23</v>
      </c>
      <c r="B36" s="682" t="s">
        <v>520</v>
      </c>
      <c r="C36" s="692">
        <f>+C8+C20+C25+C26+C30+C34+C35</f>
        <v>3521100</v>
      </c>
      <c r="D36" s="692">
        <f>+D8+D20+D25+D26+D30+D34+D35</f>
        <v>3540100</v>
      </c>
      <c r="E36" s="692">
        <f>+E8+E20+E25+E26+E30+E34+E35</f>
        <v>5321462</v>
      </c>
      <c r="F36" s="692">
        <f>+F8+F20+F25+F26+F30+F34+F35</f>
        <v>5336462</v>
      </c>
      <c r="G36" s="692">
        <f>+G8+G20+G25+G26+G30+G34+G35</f>
        <v>5361462</v>
      </c>
    </row>
    <row r="37" spans="1:7" s="669" customFormat="1" ht="12" customHeight="1" thickBot="1">
      <c r="A37" s="693" t="s">
        <v>24</v>
      </c>
      <c r="B37" s="682" t="s">
        <v>407</v>
      </c>
      <c r="C37" s="692">
        <f>+C38+C39+C40</f>
        <v>44270851</v>
      </c>
      <c r="D37" s="692">
        <f>+D38+D39+D40</f>
        <v>45287650</v>
      </c>
      <c r="E37" s="692">
        <f>+E38+E39+E40</f>
        <v>46363150</v>
      </c>
      <c r="F37" s="692">
        <f>+F38+F39+F40</f>
        <v>46348150</v>
      </c>
      <c r="G37" s="692">
        <f>+G38+G39+G40</f>
        <v>46323150</v>
      </c>
    </row>
    <row r="38" spans="1:7" s="669" customFormat="1" ht="12" customHeight="1">
      <c r="A38" s="684" t="s">
        <v>408</v>
      </c>
      <c r="B38" s="685" t="s">
        <v>229</v>
      </c>
      <c r="C38" s="686"/>
      <c r="D38" s="686"/>
      <c r="E38" s="686"/>
      <c r="F38" s="686"/>
      <c r="G38" s="686"/>
    </row>
    <row r="39" spans="1:7" s="669" customFormat="1" ht="12" customHeight="1">
      <c r="A39" s="684" t="s">
        <v>409</v>
      </c>
      <c r="B39" s="687" t="s">
        <v>2</v>
      </c>
      <c r="C39" s="690"/>
      <c r="D39" s="690"/>
      <c r="E39" s="690"/>
      <c r="F39" s="690"/>
      <c r="G39" s="690"/>
    </row>
    <row r="40" spans="1:7" s="678" customFormat="1" ht="12" customHeight="1" thickBot="1">
      <c r="A40" s="673" t="s">
        <v>410</v>
      </c>
      <c r="B40" s="688" t="s">
        <v>411</v>
      </c>
      <c r="C40" s="689">
        <v>44270851</v>
      </c>
      <c r="D40" s="689">
        <f>44270851+411269-19000+624530</f>
        <v>45287650</v>
      </c>
      <c r="E40" s="689">
        <f>44270851+411269-19000+624530+1075500</f>
        <v>46363150</v>
      </c>
      <c r="F40" s="689">
        <f>46363150-15000</f>
        <v>46348150</v>
      </c>
      <c r="G40" s="689">
        <f>46363150-15000-25000</f>
        <v>46323150</v>
      </c>
    </row>
    <row r="41" spans="1:7" s="678" customFormat="1" ht="15" customHeight="1" thickBot="1">
      <c r="A41" s="693" t="s">
        <v>25</v>
      </c>
      <c r="B41" s="694" t="s">
        <v>412</v>
      </c>
      <c r="C41" s="695">
        <f>+C36+C37</f>
        <v>47791951</v>
      </c>
      <c r="D41" s="695">
        <f>+D36+D37</f>
        <v>48827750</v>
      </c>
      <c r="E41" s="695">
        <f>+E36+E37</f>
        <v>51684612</v>
      </c>
      <c r="F41" s="695">
        <f>+F36+F37</f>
        <v>51684612</v>
      </c>
      <c r="G41" s="695">
        <f>+G36+G37</f>
        <v>51684612</v>
      </c>
    </row>
    <row r="42" spans="1:7" s="678" customFormat="1" ht="15" customHeight="1">
      <c r="A42" s="696"/>
      <c r="B42" s="697"/>
      <c r="C42" s="698"/>
      <c r="D42" s="698"/>
      <c r="E42" s="698"/>
      <c r="F42" s="698"/>
      <c r="G42" s="698"/>
    </row>
    <row r="43" spans="1:7" ht="13.5" thickBot="1">
      <c r="A43" s="699"/>
      <c r="B43" s="700"/>
      <c r="C43" s="701"/>
      <c r="D43" s="701"/>
      <c r="E43" s="701"/>
      <c r="F43" s="701"/>
      <c r="G43" s="701"/>
    </row>
    <row r="44" spans="1:7" s="663" customFormat="1" ht="16.5" customHeight="1" thickBot="1">
      <c r="A44" s="702"/>
      <c r="B44" s="703" t="s">
        <v>54</v>
      </c>
      <c r="C44" s="695"/>
      <c r="D44" s="695"/>
      <c r="E44" s="695"/>
      <c r="F44" s="695"/>
      <c r="G44" s="695"/>
    </row>
    <row r="45" spans="1:7" s="704" customFormat="1" ht="12" customHeight="1" thickBot="1">
      <c r="A45" s="681" t="s">
        <v>16</v>
      </c>
      <c r="B45" s="682" t="s">
        <v>413</v>
      </c>
      <c r="C45" s="668">
        <f>SUM(C46:C50)</f>
        <v>44915731</v>
      </c>
      <c r="D45" s="668">
        <f>SUM(D46:D50)</f>
        <v>45540261</v>
      </c>
      <c r="E45" s="668">
        <f>SUM(E46:E50)</f>
        <v>48397123</v>
      </c>
      <c r="F45" s="668">
        <f>SUM(F46:F50)</f>
        <v>48397123</v>
      </c>
      <c r="G45" s="668">
        <f>SUM(G46:G50)</f>
        <v>48397123</v>
      </c>
    </row>
    <row r="46" spans="1:7" ht="12" customHeight="1">
      <c r="A46" s="673" t="s">
        <v>95</v>
      </c>
      <c r="B46" s="680" t="s">
        <v>46</v>
      </c>
      <c r="C46" s="686">
        <v>14125510</v>
      </c>
      <c r="D46" s="686">
        <f>14125510+487750+31045</f>
        <v>14644305</v>
      </c>
      <c r="E46" s="686">
        <f>14125510+487750+31045+1067301+900000</f>
        <v>16611606</v>
      </c>
      <c r="F46" s="686">
        <f>14125510+487750+31045+1067301+900000</f>
        <v>16611606</v>
      </c>
      <c r="G46" s="686">
        <f>14125510+487750+31045+1067301+900000</f>
        <v>16611606</v>
      </c>
    </row>
    <row r="47" spans="1:7" ht="12" customHeight="1">
      <c r="A47" s="673" t="s">
        <v>96</v>
      </c>
      <c r="B47" s="674" t="s">
        <v>174</v>
      </c>
      <c r="C47" s="705">
        <v>3315011</v>
      </c>
      <c r="D47" s="705">
        <f>3315011+95111+10624</f>
        <v>3420746</v>
      </c>
      <c r="E47" s="705">
        <f>3315011+95111+10624+104061+175500</f>
        <v>3700307</v>
      </c>
      <c r="F47" s="705">
        <f>3315011+95111+10624+104061+175500</f>
        <v>3700307</v>
      </c>
      <c r="G47" s="705">
        <f>3315011+95111+10624+104061+175500</f>
        <v>3700307</v>
      </c>
    </row>
    <row r="48" spans="1:7" ht="12" customHeight="1">
      <c r="A48" s="673" t="s">
        <v>97</v>
      </c>
      <c r="B48" s="674" t="s">
        <v>133</v>
      </c>
      <c r="C48" s="705">
        <v>27475210</v>
      </c>
      <c r="D48" s="705">
        <f>27475210</f>
        <v>27475210</v>
      </c>
      <c r="E48" s="705">
        <f>27475210+610000</f>
        <v>28085210</v>
      </c>
      <c r="F48" s="705">
        <f>27475210+610000</f>
        <v>28085210</v>
      </c>
      <c r="G48" s="705">
        <f>27475210+610000</f>
        <v>28085210</v>
      </c>
    </row>
    <row r="49" spans="1:7" ht="12" customHeight="1">
      <c r="A49" s="673" t="s">
        <v>98</v>
      </c>
      <c r="B49" s="674" t="s">
        <v>175</v>
      </c>
      <c r="C49" s="705"/>
      <c r="D49" s="705"/>
      <c r="E49" s="705"/>
      <c r="F49" s="705"/>
      <c r="G49" s="705"/>
    </row>
    <row r="50" spans="1:7" ht="12" customHeight="1" thickBot="1">
      <c r="A50" s="673" t="s">
        <v>141</v>
      </c>
      <c r="B50" s="674" t="s">
        <v>176</v>
      </c>
      <c r="C50" s="705"/>
      <c r="D50" s="705"/>
      <c r="E50" s="705"/>
      <c r="F50" s="705"/>
      <c r="G50" s="705"/>
    </row>
    <row r="51" spans="1:7" ht="12" customHeight="1" thickBot="1">
      <c r="A51" s="681" t="s">
        <v>17</v>
      </c>
      <c r="B51" s="682" t="s">
        <v>414</v>
      </c>
      <c r="C51" s="668">
        <f>SUM(C52:C54)</f>
        <v>2876220</v>
      </c>
      <c r="D51" s="668">
        <f>SUM(D52:D54)</f>
        <v>3287489</v>
      </c>
      <c r="E51" s="668">
        <f>SUM(E52:E54)</f>
        <v>3287489</v>
      </c>
      <c r="F51" s="668">
        <f>SUM(F52:F54)</f>
        <v>3287489</v>
      </c>
      <c r="G51" s="668">
        <f>SUM(G52:G54)</f>
        <v>3287489</v>
      </c>
    </row>
    <row r="52" spans="1:7" s="704" customFormat="1" ht="12" customHeight="1">
      <c r="A52" s="673" t="s">
        <v>101</v>
      </c>
      <c r="B52" s="680" t="s">
        <v>219</v>
      </c>
      <c r="C52" s="686">
        <v>2876220</v>
      </c>
      <c r="D52" s="686">
        <f>2876220+411269</f>
        <v>3287489</v>
      </c>
      <c r="E52" s="686">
        <f>2876220+411269</f>
        <v>3287489</v>
      </c>
      <c r="F52" s="686">
        <f>2876220+411269</f>
        <v>3287489</v>
      </c>
      <c r="G52" s="686">
        <f>2876220+411269</f>
        <v>3287489</v>
      </c>
    </row>
    <row r="53" spans="1:7" ht="12" customHeight="1">
      <c r="A53" s="673" t="s">
        <v>102</v>
      </c>
      <c r="B53" s="674" t="s">
        <v>178</v>
      </c>
      <c r="C53" s="705"/>
      <c r="D53" s="705"/>
      <c r="E53" s="705"/>
      <c r="F53" s="705"/>
      <c r="G53" s="705"/>
    </row>
    <row r="54" spans="1:7" ht="12" customHeight="1">
      <c r="A54" s="673" t="s">
        <v>103</v>
      </c>
      <c r="B54" s="674" t="s">
        <v>55</v>
      </c>
      <c r="C54" s="705"/>
      <c r="D54" s="705"/>
      <c r="E54" s="705"/>
      <c r="F54" s="705"/>
      <c r="G54" s="705"/>
    </row>
    <row r="55" spans="1:7" ht="12" customHeight="1" thickBot="1">
      <c r="A55" s="673" t="s">
        <v>104</v>
      </c>
      <c r="B55" s="674" t="s">
        <v>517</v>
      </c>
      <c r="C55" s="705"/>
      <c r="D55" s="705"/>
      <c r="E55" s="705"/>
      <c r="F55" s="705"/>
      <c r="G55" s="705"/>
    </row>
    <row r="56" spans="1:7" ht="15" customHeight="1" thickBot="1">
      <c r="A56" s="681" t="s">
        <v>18</v>
      </c>
      <c r="B56" s="682" t="s">
        <v>12</v>
      </c>
      <c r="C56" s="683"/>
      <c r="D56" s="683"/>
      <c r="E56" s="683"/>
      <c r="F56" s="683"/>
      <c r="G56" s="683"/>
    </row>
    <row r="57" spans="1:7" ht="13.5" thickBot="1">
      <c r="A57" s="681" t="s">
        <v>19</v>
      </c>
      <c r="B57" s="706" t="s">
        <v>522</v>
      </c>
      <c r="C57" s="707">
        <f>+C45+C51+C56</f>
        <v>47791951</v>
      </c>
      <c r="D57" s="707">
        <f>+D45+D51+D56</f>
        <v>48827750</v>
      </c>
      <c r="E57" s="707">
        <f>+E45+E51+E56</f>
        <v>51684612</v>
      </c>
      <c r="F57" s="707">
        <f>+F45+F51+F56</f>
        <v>51684612</v>
      </c>
      <c r="G57" s="707">
        <f>+G45+G51+G56</f>
        <v>51684612</v>
      </c>
    </row>
    <row r="58" spans="1:7" ht="15" customHeight="1" thickBot="1">
      <c r="C58" s="709"/>
      <c r="D58" s="709"/>
      <c r="E58" s="709"/>
      <c r="F58" s="709"/>
      <c r="G58" s="709"/>
    </row>
    <row r="59" spans="1:7" ht="14.25" customHeight="1" thickBot="1">
      <c r="A59" s="710" t="s">
        <v>512</v>
      </c>
      <c r="B59" s="711"/>
      <c r="C59" s="712">
        <v>3.25</v>
      </c>
      <c r="D59" s="712">
        <v>4</v>
      </c>
      <c r="E59" s="712">
        <v>4</v>
      </c>
      <c r="F59" s="712">
        <v>4</v>
      </c>
      <c r="G59" s="712">
        <v>4</v>
      </c>
    </row>
    <row r="60" spans="1:7" ht="13.5" thickBot="1">
      <c r="A60" s="710" t="s">
        <v>196</v>
      </c>
      <c r="B60" s="711"/>
      <c r="C60" s="712"/>
      <c r="D60" s="712"/>
      <c r="E60" s="712"/>
      <c r="F60" s="712"/>
      <c r="G60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landscape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G60"/>
  <sheetViews>
    <sheetView topLeftCell="B1" zoomScaleNormal="100" workbookViewId="0">
      <selection activeCell="B36" sqref="B36"/>
    </sheetView>
  </sheetViews>
  <sheetFormatPr defaultRowHeight="12.75"/>
  <cols>
    <col min="1" max="1" width="13.83203125" style="708" customWidth="1"/>
    <col min="2" max="2" width="48.6640625" style="659" bestFit="1" customWidth="1"/>
    <col min="3" max="7" width="25" style="659" customWidth="1"/>
    <col min="8" max="16384" width="9.33203125" style="659"/>
  </cols>
  <sheetData>
    <row r="1" spans="1:7" s="645" customFormat="1" ht="21" customHeight="1" thickBot="1">
      <c r="A1" s="643"/>
      <c r="B1" s="644" t="str">
        <f>+CONCATENATE("9.3.1. melléklet a ……/",LEFT([1]ÖSSZEFÜGGÉSEK!E5,4),". (….) önkormányzati rendelethez")</f>
        <v>9.3.1. melléklet a ……/. (….) önkormányzati rendelethez</v>
      </c>
      <c r="C1" s="644"/>
      <c r="D1" s="644"/>
      <c r="E1" s="644"/>
      <c r="F1" s="644"/>
      <c r="G1" s="644"/>
    </row>
    <row r="2" spans="1:7" s="649" customFormat="1" ht="36" customHeight="1">
      <c r="A2" s="646" t="s">
        <v>194</v>
      </c>
      <c r="B2" s="647" t="s">
        <v>540</v>
      </c>
      <c r="C2" s="648" t="s">
        <v>57</v>
      </c>
      <c r="D2" s="648" t="s">
        <v>57</v>
      </c>
      <c r="E2" s="648" t="s">
        <v>57</v>
      </c>
      <c r="F2" s="648" t="s">
        <v>57</v>
      </c>
      <c r="G2" s="648" t="s">
        <v>57</v>
      </c>
    </row>
    <row r="3" spans="1:7" s="649" customFormat="1" ht="24.75" thickBot="1">
      <c r="A3" s="650" t="s">
        <v>193</v>
      </c>
      <c r="B3" s="651" t="s">
        <v>415</v>
      </c>
      <c r="C3" s="652" t="s">
        <v>51</v>
      </c>
      <c r="D3" s="652" t="s">
        <v>51</v>
      </c>
      <c r="E3" s="652" t="s">
        <v>51</v>
      </c>
      <c r="F3" s="652" t="s">
        <v>51</v>
      </c>
      <c r="G3" s="652" t="s">
        <v>51</v>
      </c>
    </row>
    <row r="4" spans="1:7" s="655" customFormat="1" ht="15.95" customHeight="1" thickBot="1">
      <c r="A4" s="653"/>
      <c r="B4" s="653"/>
      <c r="C4" s="654" t="s">
        <v>599</v>
      </c>
      <c r="D4" s="654" t="s">
        <v>599</v>
      </c>
      <c r="E4" s="654" t="s">
        <v>599</v>
      </c>
      <c r="F4" s="654" t="s">
        <v>599</v>
      </c>
      <c r="G4" s="654" t="s">
        <v>599</v>
      </c>
    </row>
    <row r="5" spans="1:7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773</v>
      </c>
      <c r="G5" s="658" t="s">
        <v>780</v>
      </c>
    </row>
    <row r="6" spans="1:7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  <c r="G6" s="662" t="s">
        <v>487</v>
      </c>
    </row>
    <row r="7" spans="1:7" s="663" customFormat="1" ht="15.95" customHeight="1" thickBot="1">
      <c r="A7" s="664"/>
      <c r="B7" s="665" t="s">
        <v>53</v>
      </c>
      <c r="C7" s="666"/>
      <c r="D7" s="666"/>
      <c r="E7" s="666"/>
      <c r="F7" s="666"/>
      <c r="G7" s="666"/>
    </row>
    <row r="8" spans="1:7" s="669" customFormat="1" ht="12" customHeight="1" thickBot="1">
      <c r="A8" s="660" t="s">
        <v>16</v>
      </c>
      <c r="B8" s="667" t="s">
        <v>513</v>
      </c>
      <c r="C8" s="668">
        <f>SUM(C9:C19)</f>
        <v>2521100</v>
      </c>
      <c r="D8" s="668">
        <f>SUM(D9:D19)</f>
        <v>2540100</v>
      </c>
      <c r="E8" s="668">
        <f>SUM(E9:E19)</f>
        <v>3150100</v>
      </c>
      <c r="F8" s="668">
        <f>SUM(F9:F19)</f>
        <v>3165100</v>
      </c>
      <c r="G8" s="668">
        <f>SUM(G9:G19)</f>
        <v>3190100</v>
      </c>
    </row>
    <row r="9" spans="1:7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  <c r="G9" s="672"/>
    </row>
    <row r="10" spans="1:7" s="669" customFormat="1" ht="12" customHeight="1">
      <c r="A10" s="673" t="s">
        <v>96</v>
      </c>
      <c r="B10" s="674" t="s">
        <v>273</v>
      </c>
      <c r="C10" s="675">
        <v>2120000</v>
      </c>
      <c r="D10" s="675">
        <v>2120000</v>
      </c>
      <c r="E10" s="675">
        <f>2120000+600000</f>
        <v>2720000</v>
      </c>
      <c r="F10" s="675">
        <f>2120000+600000</f>
        <v>2720000</v>
      </c>
      <c r="G10" s="675">
        <f>2120000+600000+25000</f>
        <v>2745000</v>
      </c>
    </row>
    <row r="11" spans="1:7" s="669" customFormat="1" ht="12" customHeight="1">
      <c r="A11" s="673" t="s">
        <v>97</v>
      </c>
      <c r="B11" s="674" t="s">
        <v>274</v>
      </c>
      <c r="C11" s="675">
        <f>110000+290000</f>
        <v>400000</v>
      </c>
      <c r="D11" s="675">
        <f>110000+290000</f>
        <v>400000</v>
      </c>
      <c r="E11" s="675">
        <f>110000+290000</f>
        <v>400000</v>
      </c>
      <c r="F11" s="675">
        <f>110000+290000</f>
        <v>400000</v>
      </c>
      <c r="G11" s="675">
        <f>110000+290000</f>
        <v>400000</v>
      </c>
    </row>
    <row r="12" spans="1:7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  <c r="G12" s="675"/>
    </row>
    <row r="13" spans="1:7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  <c r="G13" s="675"/>
    </row>
    <row r="14" spans="1:7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  <c r="G14" s="675"/>
    </row>
    <row r="15" spans="1:7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  <c r="G15" s="675"/>
    </row>
    <row r="16" spans="1:7" s="669" customFormat="1" ht="12" customHeight="1">
      <c r="A16" s="673" t="s">
        <v>110</v>
      </c>
      <c r="B16" s="674" t="s">
        <v>279</v>
      </c>
      <c r="C16" s="677">
        <v>100</v>
      </c>
      <c r="D16" s="677">
        <v>100</v>
      </c>
      <c r="E16" s="677">
        <v>100</v>
      </c>
      <c r="F16" s="677">
        <v>100</v>
      </c>
      <c r="G16" s="677">
        <v>100</v>
      </c>
    </row>
    <row r="17" spans="1:7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  <c r="G17" s="675"/>
    </row>
    <row r="18" spans="1:7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  <c r="G18" s="679"/>
    </row>
    <row r="19" spans="1:7" s="678" customFormat="1" ht="12" customHeight="1" thickBot="1">
      <c r="A19" s="673" t="s">
        <v>113</v>
      </c>
      <c r="B19" s="676" t="s">
        <v>281</v>
      </c>
      <c r="C19" s="679">
        <v>1000</v>
      </c>
      <c r="D19" s="679">
        <f>1000+19000</f>
        <v>20000</v>
      </c>
      <c r="E19" s="679">
        <f>1000+19000+10000</f>
        <v>30000</v>
      </c>
      <c r="F19" s="679">
        <f>30000+15000</f>
        <v>45000</v>
      </c>
      <c r="G19" s="679">
        <f>30000+15000</f>
        <v>45000</v>
      </c>
    </row>
    <row r="20" spans="1:7" s="669" customFormat="1" ht="12" customHeight="1" thickBot="1">
      <c r="A20" s="660" t="s">
        <v>17</v>
      </c>
      <c r="B20" s="667" t="s">
        <v>399</v>
      </c>
      <c r="C20" s="668">
        <f>SUM(C21:C23)</f>
        <v>1000000</v>
      </c>
      <c r="D20" s="668">
        <f>SUM(D21:D23)</f>
        <v>1000000</v>
      </c>
      <c r="E20" s="668">
        <f>SUM(E21:E23)</f>
        <v>2171362</v>
      </c>
      <c r="F20" s="668">
        <f>SUM(F21:F23)</f>
        <v>2171362</v>
      </c>
      <c r="G20" s="668">
        <f>SUM(G21:G23)</f>
        <v>2171362</v>
      </c>
    </row>
    <row r="21" spans="1:7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  <c r="G21" s="675"/>
    </row>
    <row r="22" spans="1:7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  <c r="G22" s="675"/>
    </row>
    <row r="23" spans="1:7" s="678" customFormat="1" ht="12" customHeight="1">
      <c r="A23" s="673" t="s">
        <v>103</v>
      </c>
      <c r="B23" s="674" t="s">
        <v>401</v>
      </c>
      <c r="C23" s="675">
        <v>1000000</v>
      </c>
      <c r="D23" s="675">
        <v>1000000</v>
      </c>
      <c r="E23" s="675">
        <f>1000000+1171362</f>
        <v>2171362</v>
      </c>
      <c r="F23" s="675">
        <f>1000000+1171362</f>
        <v>2171362</v>
      </c>
      <c r="G23" s="675">
        <f>1000000+1171362</f>
        <v>2171362</v>
      </c>
    </row>
    <row r="24" spans="1:7" s="678" customFormat="1" ht="12" customHeight="1" thickBot="1">
      <c r="A24" s="673" t="s">
        <v>104</v>
      </c>
      <c r="B24" s="674" t="s">
        <v>518</v>
      </c>
      <c r="C24" s="675"/>
      <c r="D24" s="675"/>
      <c r="E24" s="675"/>
      <c r="F24" s="675"/>
      <c r="G24" s="675"/>
    </row>
    <row r="25" spans="1:7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  <c r="G25" s="683"/>
    </row>
    <row r="26" spans="1:7" s="678" customFormat="1" ht="12" customHeight="1" thickBot="1">
      <c r="A26" s="681" t="s">
        <v>19</v>
      </c>
      <c r="B26" s="682" t="s">
        <v>402</v>
      </c>
      <c r="C26" s="668">
        <f>+C27+C28</f>
        <v>0</v>
      </c>
      <c r="D26" s="668">
        <f>+D27+D28</f>
        <v>0</v>
      </c>
      <c r="E26" s="668">
        <f>+E27+E28</f>
        <v>0</v>
      </c>
      <c r="F26" s="668">
        <f>+F27+F28</f>
        <v>0</v>
      </c>
      <c r="G26" s="668">
        <f>+G27+G28</f>
        <v>0</v>
      </c>
    </row>
    <row r="27" spans="1:7" s="678" customFormat="1" ht="12" customHeight="1">
      <c r="A27" s="684" t="s">
        <v>259</v>
      </c>
      <c r="B27" s="685" t="s">
        <v>400</v>
      </c>
      <c r="C27" s="686"/>
      <c r="D27" s="686"/>
      <c r="E27" s="686"/>
      <c r="F27" s="686"/>
      <c r="G27" s="686"/>
    </row>
    <row r="28" spans="1:7" s="678" customFormat="1" ht="12" customHeight="1">
      <c r="A28" s="684" t="s">
        <v>262</v>
      </c>
      <c r="B28" s="687" t="s">
        <v>403</v>
      </c>
      <c r="C28" s="690"/>
      <c r="D28" s="690"/>
      <c r="E28" s="690"/>
      <c r="F28" s="690"/>
      <c r="G28" s="690"/>
    </row>
    <row r="29" spans="1:7" s="678" customFormat="1" ht="12" customHeight="1" thickBot="1">
      <c r="A29" s="673" t="s">
        <v>263</v>
      </c>
      <c r="B29" s="688" t="s">
        <v>519</v>
      </c>
      <c r="C29" s="689"/>
      <c r="D29" s="689"/>
      <c r="E29" s="689"/>
      <c r="F29" s="689"/>
      <c r="G29" s="689"/>
    </row>
    <row r="30" spans="1:7" s="678" customFormat="1" ht="12" customHeight="1" thickBot="1">
      <c r="A30" s="681" t="s">
        <v>20</v>
      </c>
      <c r="B30" s="682" t="s">
        <v>404</v>
      </c>
      <c r="C30" s="668">
        <f>+C31+C32+C33</f>
        <v>0</v>
      </c>
      <c r="D30" s="668">
        <f>+D31+D32+D33</f>
        <v>0</v>
      </c>
      <c r="E30" s="668">
        <f>+E31+E32+E33</f>
        <v>0</v>
      </c>
      <c r="F30" s="668">
        <f>+F31+F32+F33</f>
        <v>0</v>
      </c>
      <c r="G30" s="668">
        <f>+G31+G32+G33</f>
        <v>0</v>
      </c>
    </row>
    <row r="31" spans="1:7" s="678" customFormat="1" ht="12" customHeight="1">
      <c r="A31" s="684" t="s">
        <v>88</v>
      </c>
      <c r="B31" s="685" t="s">
        <v>286</v>
      </c>
      <c r="C31" s="686"/>
      <c r="D31" s="686"/>
      <c r="E31" s="686"/>
      <c r="F31" s="686"/>
      <c r="G31" s="686"/>
    </row>
    <row r="32" spans="1:7" s="678" customFormat="1" ht="12" customHeight="1">
      <c r="A32" s="684" t="s">
        <v>89</v>
      </c>
      <c r="B32" s="687" t="s">
        <v>287</v>
      </c>
      <c r="C32" s="690"/>
      <c r="D32" s="690"/>
      <c r="E32" s="690"/>
      <c r="F32" s="690"/>
      <c r="G32" s="690"/>
    </row>
    <row r="33" spans="1:7" s="678" customFormat="1" ht="12" customHeight="1" thickBot="1">
      <c r="A33" s="673" t="s">
        <v>90</v>
      </c>
      <c r="B33" s="688" t="s">
        <v>288</v>
      </c>
      <c r="C33" s="689"/>
      <c r="D33" s="689"/>
      <c r="E33" s="689"/>
      <c r="F33" s="689"/>
      <c r="G33" s="689"/>
    </row>
    <row r="34" spans="1:7" s="669" customFormat="1" ht="12" customHeight="1" thickBot="1">
      <c r="A34" s="681" t="s">
        <v>21</v>
      </c>
      <c r="B34" s="682" t="s">
        <v>373</v>
      </c>
      <c r="C34" s="683"/>
      <c r="D34" s="683"/>
      <c r="E34" s="683"/>
      <c r="F34" s="683"/>
      <c r="G34" s="683"/>
    </row>
    <row r="35" spans="1:7" s="669" customFormat="1" ht="12" customHeight="1" thickBot="1">
      <c r="A35" s="681" t="s">
        <v>22</v>
      </c>
      <c r="B35" s="682" t="s">
        <v>405</v>
      </c>
      <c r="C35" s="691"/>
      <c r="D35" s="691"/>
      <c r="E35" s="691"/>
      <c r="F35" s="691"/>
      <c r="G35" s="691"/>
    </row>
    <row r="36" spans="1:7" s="669" customFormat="1" ht="12" customHeight="1" thickBot="1">
      <c r="A36" s="660" t="s">
        <v>23</v>
      </c>
      <c r="B36" s="682" t="s">
        <v>520</v>
      </c>
      <c r="C36" s="692">
        <f>+C8+C20+C25+C26+C30+C34+C35</f>
        <v>3521100</v>
      </c>
      <c r="D36" s="692">
        <f>+D8+D20+D25+D26+D30+D34+D35</f>
        <v>3540100</v>
      </c>
      <c r="E36" s="692">
        <f>+E8+E20+E25+E26+E30+E34+E35</f>
        <v>5321462</v>
      </c>
      <c r="F36" s="692">
        <f>+F8+F20+F25+F26+F30+F34+F35</f>
        <v>5336462</v>
      </c>
      <c r="G36" s="692">
        <f>+G8+G20+G25+G26+G30+G34+G35</f>
        <v>5361462</v>
      </c>
    </row>
    <row r="37" spans="1:7" s="669" customFormat="1" ht="12" customHeight="1" thickBot="1">
      <c r="A37" s="693" t="s">
        <v>24</v>
      </c>
      <c r="B37" s="682" t="s">
        <v>407</v>
      </c>
      <c r="C37" s="692">
        <f>+C38+C39+C40</f>
        <v>44270851</v>
      </c>
      <c r="D37" s="692">
        <f>+D38+D39+D40</f>
        <v>45287650</v>
      </c>
      <c r="E37" s="692">
        <f>+E38+E39+E40</f>
        <v>46363150</v>
      </c>
      <c r="F37" s="692">
        <f>+F38+F39+F40</f>
        <v>46348150</v>
      </c>
      <c r="G37" s="692">
        <f>+G38+G39+G40</f>
        <v>46323150</v>
      </c>
    </row>
    <row r="38" spans="1:7" s="669" customFormat="1" ht="12" customHeight="1">
      <c r="A38" s="684" t="s">
        <v>408</v>
      </c>
      <c r="B38" s="685" t="s">
        <v>229</v>
      </c>
      <c r="C38" s="686"/>
      <c r="D38" s="686"/>
      <c r="E38" s="686"/>
      <c r="F38" s="686"/>
      <c r="G38" s="686"/>
    </row>
    <row r="39" spans="1:7" s="669" customFormat="1" ht="12" customHeight="1">
      <c r="A39" s="684" t="s">
        <v>409</v>
      </c>
      <c r="B39" s="687" t="s">
        <v>2</v>
      </c>
      <c r="C39" s="690"/>
      <c r="D39" s="690"/>
      <c r="E39" s="690"/>
      <c r="F39" s="690"/>
      <c r="G39" s="690"/>
    </row>
    <row r="40" spans="1:7" s="678" customFormat="1" ht="12" customHeight="1" thickBot="1">
      <c r="A40" s="673" t="s">
        <v>410</v>
      </c>
      <c r="B40" s="688" t="s">
        <v>411</v>
      </c>
      <c r="C40" s="689">
        <v>44270851</v>
      </c>
      <c r="D40" s="689">
        <f>44270851+411269-19000+624530</f>
        <v>45287650</v>
      </c>
      <c r="E40" s="689">
        <f>44270851+411269-19000+624530+1075500</f>
        <v>46363150</v>
      </c>
      <c r="F40" s="689">
        <f>46363150-15000</f>
        <v>46348150</v>
      </c>
      <c r="G40" s="689">
        <f>46363150-15000-25000</f>
        <v>46323150</v>
      </c>
    </row>
    <row r="41" spans="1:7" s="678" customFormat="1" ht="15" customHeight="1" thickBot="1">
      <c r="A41" s="693" t="s">
        <v>25</v>
      </c>
      <c r="B41" s="694" t="s">
        <v>412</v>
      </c>
      <c r="C41" s="695">
        <f>+C36+C37</f>
        <v>47791951</v>
      </c>
      <c r="D41" s="695">
        <f>+D36+D37</f>
        <v>48827750</v>
      </c>
      <c r="E41" s="695">
        <f>+E36+E37</f>
        <v>51684612</v>
      </c>
      <c r="F41" s="695">
        <f>+F36+F37</f>
        <v>51684612</v>
      </c>
      <c r="G41" s="695">
        <f>+G36+G37</f>
        <v>51684612</v>
      </c>
    </row>
    <row r="42" spans="1:7" s="678" customFormat="1" ht="15" customHeight="1">
      <c r="A42" s="696"/>
      <c r="B42" s="697"/>
      <c r="C42" s="698"/>
      <c r="D42" s="698"/>
      <c r="E42" s="698"/>
      <c r="F42" s="698"/>
      <c r="G42" s="698"/>
    </row>
    <row r="43" spans="1:7" ht="13.5" thickBot="1">
      <c r="A43" s="699"/>
      <c r="B43" s="700"/>
      <c r="C43" s="701"/>
      <c r="D43" s="701"/>
      <c r="E43" s="701"/>
      <c r="F43" s="701"/>
      <c r="G43" s="701"/>
    </row>
    <row r="44" spans="1:7" s="663" customFormat="1" ht="16.5" customHeight="1" thickBot="1">
      <c r="A44" s="702"/>
      <c r="B44" s="703" t="s">
        <v>54</v>
      </c>
      <c r="C44" s="695"/>
      <c r="D44" s="695"/>
      <c r="E44" s="695"/>
      <c r="F44" s="695"/>
      <c r="G44" s="695"/>
    </row>
    <row r="45" spans="1:7" s="704" customFormat="1" ht="12" customHeight="1" thickBot="1">
      <c r="A45" s="681" t="s">
        <v>16</v>
      </c>
      <c r="B45" s="682" t="s">
        <v>413</v>
      </c>
      <c r="C45" s="668">
        <f>SUM(C46:C50)</f>
        <v>44915731</v>
      </c>
      <c r="D45" s="668">
        <f>SUM(D46:D50)</f>
        <v>45540261</v>
      </c>
      <c r="E45" s="668">
        <f>SUM(E46:E50)</f>
        <v>48397123</v>
      </c>
      <c r="F45" s="668">
        <f>SUM(F46:F50)</f>
        <v>48397123</v>
      </c>
      <c r="G45" s="668">
        <f>SUM(G46:G50)</f>
        <v>48397123</v>
      </c>
    </row>
    <row r="46" spans="1:7" ht="12" customHeight="1">
      <c r="A46" s="673" t="s">
        <v>95</v>
      </c>
      <c r="B46" s="680" t="s">
        <v>46</v>
      </c>
      <c r="C46" s="686">
        <v>14125510</v>
      </c>
      <c r="D46" s="686">
        <f>14125510+487750+31045</f>
        <v>14644305</v>
      </c>
      <c r="E46" s="686">
        <f>14125510+487750+31045+1067301+900000</f>
        <v>16611606</v>
      </c>
      <c r="F46" s="686">
        <f>14125510+487750+31045+1067301+900000</f>
        <v>16611606</v>
      </c>
      <c r="G46" s="686">
        <f>14125510+487750+31045+1067301+900000</f>
        <v>16611606</v>
      </c>
    </row>
    <row r="47" spans="1:7" ht="12" customHeight="1">
      <c r="A47" s="673" t="s">
        <v>96</v>
      </c>
      <c r="B47" s="674" t="s">
        <v>174</v>
      </c>
      <c r="C47" s="705">
        <v>3315011</v>
      </c>
      <c r="D47" s="705">
        <f>3315011+95111+10624</f>
        <v>3420746</v>
      </c>
      <c r="E47" s="705">
        <f>3315011+95111+10624+104061+175500</f>
        <v>3700307</v>
      </c>
      <c r="F47" s="705">
        <f>3315011+95111+10624+104061+175500</f>
        <v>3700307</v>
      </c>
      <c r="G47" s="705">
        <f>3315011+95111+10624+104061+175500</f>
        <v>3700307</v>
      </c>
    </row>
    <row r="48" spans="1:7" ht="12" customHeight="1">
      <c r="A48" s="673" t="s">
        <v>97</v>
      </c>
      <c r="B48" s="674" t="s">
        <v>133</v>
      </c>
      <c r="C48" s="705">
        <v>27475210</v>
      </c>
      <c r="D48" s="705">
        <f>27475210</f>
        <v>27475210</v>
      </c>
      <c r="E48" s="705">
        <f>27475210+610000</f>
        <v>28085210</v>
      </c>
      <c r="F48" s="705">
        <f>27475210+610000</f>
        <v>28085210</v>
      </c>
      <c r="G48" s="705">
        <f>27475210+610000</f>
        <v>28085210</v>
      </c>
    </row>
    <row r="49" spans="1:7" ht="12" customHeight="1">
      <c r="A49" s="673" t="s">
        <v>98</v>
      </c>
      <c r="B49" s="674" t="s">
        <v>175</v>
      </c>
      <c r="C49" s="705"/>
      <c r="D49" s="705"/>
      <c r="E49" s="705"/>
      <c r="F49" s="705"/>
      <c r="G49" s="705"/>
    </row>
    <row r="50" spans="1:7" ht="12" customHeight="1" thickBot="1">
      <c r="A50" s="673" t="s">
        <v>141</v>
      </c>
      <c r="B50" s="674" t="s">
        <v>176</v>
      </c>
      <c r="C50" s="705"/>
      <c r="D50" s="705"/>
      <c r="E50" s="705"/>
      <c r="F50" s="705"/>
      <c r="G50" s="705"/>
    </row>
    <row r="51" spans="1:7" ht="12" customHeight="1" thickBot="1">
      <c r="A51" s="681" t="s">
        <v>17</v>
      </c>
      <c r="B51" s="682" t="s">
        <v>414</v>
      </c>
      <c r="C51" s="668">
        <f>SUM(C52:C54)</f>
        <v>2876220</v>
      </c>
      <c r="D51" s="668">
        <f>SUM(D52:D54)</f>
        <v>3287489</v>
      </c>
      <c r="E51" s="668">
        <f>SUM(E52:E54)</f>
        <v>3287489</v>
      </c>
      <c r="F51" s="668">
        <f>SUM(F52:F54)</f>
        <v>3287489</v>
      </c>
      <c r="G51" s="668">
        <f>SUM(G52:G54)</f>
        <v>3287489</v>
      </c>
    </row>
    <row r="52" spans="1:7" s="704" customFormat="1" ht="12" customHeight="1">
      <c r="A52" s="673" t="s">
        <v>101</v>
      </c>
      <c r="B52" s="680" t="s">
        <v>219</v>
      </c>
      <c r="C52" s="686">
        <v>2876220</v>
      </c>
      <c r="D52" s="686">
        <f>2876220+411269</f>
        <v>3287489</v>
      </c>
      <c r="E52" s="686">
        <f>2876220+411269</f>
        <v>3287489</v>
      </c>
      <c r="F52" s="686">
        <f>2876220+411269</f>
        <v>3287489</v>
      </c>
      <c r="G52" s="686">
        <f>2876220+411269</f>
        <v>3287489</v>
      </c>
    </row>
    <row r="53" spans="1:7" ht="12" customHeight="1">
      <c r="A53" s="673" t="s">
        <v>102</v>
      </c>
      <c r="B53" s="674" t="s">
        <v>178</v>
      </c>
      <c r="C53" s="705"/>
      <c r="D53" s="705"/>
      <c r="E53" s="705"/>
      <c r="F53" s="705"/>
      <c r="G53" s="705"/>
    </row>
    <row r="54" spans="1:7" ht="12" customHeight="1">
      <c r="A54" s="673" t="s">
        <v>103</v>
      </c>
      <c r="B54" s="674" t="s">
        <v>55</v>
      </c>
      <c r="C54" s="705"/>
      <c r="D54" s="705"/>
      <c r="E54" s="705"/>
      <c r="F54" s="705"/>
      <c r="G54" s="705"/>
    </row>
    <row r="55" spans="1:7" ht="12" customHeight="1" thickBot="1">
      <c r="A55" s="673" t="s">
        <v>104</v>
      </c>
      <c r="B55" s="674" t="s">
        <v>517</v>
      </c>
      <c r="C55" s="705"/>
      <c r="D55" s="705"/>
      <c r="E55" s="705"/>
      <c r="F55" s="705"/>
      <c r="G55" s="705"/>
    </row>
    <row r="56" spans="1:7" ht="15" customHeight="1" thickBot="1">
      <c r="A56" s="681" t="s">
        <v>18</v>
      </c>
      <c r="B56" s="682" t="s">
        <v>12</v>
      </c>
      <c r="C56" s="683"/>
      <c r="D56" s="683"/>
      <c r="E56" s="683"/>
      <c r="F56" s="683"/>
      <c r="G56" s="683"/>
    </row>
    <row r="57" spans="1:7" ht="13.5" thickBot="1">
      <c r="A57" s="681" t="s">
        <v>19</v>
      </c>
      <c r="B57" s="706" t="s">
        <v>522</v>
      </c>
      <c r="C57" s="707">
        <f>+C45+C51+C56</f>
        <v>47791951</v>
      </c>
      <c r="D57" s="707">
        <f>+D45+D51+D56</f>
        <v>48827750</v>
      </c>
      <c r="E57" s="707">
        <f>+E45+E51+E56</f>
        <v>51684612</v>
      </c>
      <c r="F57" s="707">
        <f>+F45+F51+F56</f>
        <v>51684612</v>
      </c>
      <c r="G57" s="707">
        <f>+G45+G51+G56</f>
        <v>51684612</v>
      </c>
    </row>
    <row r="58" spans="1:7" ht="15" customHeight="1" thickBot="1">
      <c r="C58" s="709"/>
      <c r="D58" s="709"/>
      <c r="E58" s="709"/>
      <c r="F58" s="709"/>
      <c r="G58" s="709"/>
    </row>
    <row r="59" spans="1:7" ht="14.25" customHeight="1" thickBot="1">
      <c r="A59" s="710" t="s">
        <v>512</v>
      </c>
      <c r="B59" s="711"/>
      <c r="C59" s="712">
        <v>3.25</v>
      </c>
      <c r="D59" s="712">
        <v>4</v>
      </c>
      <c r="E59" s="712">
        <v>4</v>
      </c>
      <c r="F59" s="712">
        <v>4</v>
      </c>
      <c r="G59" s="712">
        <v>4</v>
      </c>
    </row>
    <row r="60" spans="1:7" ht="13.5" thickBot="1">
      <c r="A60" s="710" t="s">
        <v>196</v>
      </c>
      <c r="B60" s="711"/>
      <c r="C60" s="712"/>
      <c r="D60" s="712"/>
      <c r="E60" s="712"/>
      <c r="F60" s="712"/>
      <c r="G60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G60"/>
  <sheetViews>
    <sheetView topLeftCell="C1" zoomScaleNormal="100" workbookViewId="0">
      <selection activeCell="B36" sqref="B36"/>
    </sheetView>
  </sheetViews>
  <sheetFormatPr defaultRowHeight="12.75"/>
  <cols>
    <col min="1" max="1" width="13.83203125" style="708" customWidth="1"/>
    <col min="2" max="2" width="79.1640625" style="659" customWidth="1"/>
    <col min="3" max="7" width="25" style="659" customWidth="1"/>
    <col min="8" max="16384" width="9.33203125" style="659"/>
  </cols>
  <sheetData>
    <row r="1" spans="1:7" s="645" customFormat="1" ht="21" customHeight="1" thickBot="1">
      <c r="A1" s="643"/>
      <c r="B1" s="644" t="str">
        <f>+CONCATENATE("9.3.2. melléklet a ……/",LEFT([1]ÖSSZEFÜGGÉSEK!E5,4),". (….) önkormányzati rendelethez")</f>
        <v>9.3.2. melléklet a ……/. (….) önkormányzati rendelethez</v>
      </c>
      <c r="C1" s="644"/>
      <c r="D1" s="644"/>
      <c r="E1" s="644"/>
      <c r="F1" s="644"/>
      <c r="G1" s="644"/>
    </row>
    <row r="2" spans="1:7" s="649" customFormat="1" ht="32.25" customHeight="1">
      <c r="A2" s="646" t="s">
        <v>194</v>
      </c>
      <c r="B2" s="647" t="s">
        <v>540</v>
      </c>
      <c r="C2" s="648" t="s">
        <v>57</v>
      </c>
      <c r="D2" s="648" t="s">
        <v>57</v>
      </c>
      <c r="E2" s="648" t="s">
        <v>57</v>
      </c>
      <c r="F2" s="648" t="s">
        <v>57</v>
      </c>
      <c r="G2" s="648" t="s">
        <v>57</v>
      </c>
    </row>
    <row r="3" spans="1:7" s="649" customFormat="1" ht="24.75" thickBot="1">
      <c r="A3" s="650" t="s">
        <v>193</v>
      </c>
      <c r="B3" s="651" t="s">
        <v>416</v>
      </c>
      <c r="C3" s="652" t="s">
        <v>57</v>
      </c>
      <c r="D3" s="652" t="s">
        <v>57</v>
      </c>
      <c r="E3" s="652" t="s">
        <v>57</v>
      </c>
      <c r="F3" s="652" t="s">
        <v>57</v>
      </c>
      <c r="G3" s="652" t="s">
        <v>57</v>
      </c>
    </row>
    <row r="4" spans="1:7" s="655" customFormat="1" ht="15.95" customHeight="1" thickBot="1">
      <c r="A4" s="653"/>
      <c r="B4" s="653"/>
      <c r="C4" s="654" t="s">
        <v>599</v>
      </c>
      <c r="D4" s="654" t="s">
        <v>599</v>
      </c>
      <c r="E4" s="654" t="s">
        <v>599</v>
      </c>
      <c r="F4" s="654" t="s">
        <v>599</v>
      </c>
      <c r="G4" s="654" t="s">
        <v>599</v>
      </c>
    </row>
    <row r="5" spans="1:7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773</v>
      </c>
      <c r="G5" s="658" t="s">
        <v>780</v>
      </c>
    </row>
    <row r="6" spans="1:7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  <c r="G6" s="662" t="s">
        <v>487</v>
      </c>
    </row>
    <row r="7" spans="1:7" s="663" customFormat="1" ht="15.95" customHeight="1" thickBot="1">
      <c r="A7" s="664"/>
      <c r="B7" s="665" t="s">
        <v>53</v>
      </c>
      <c r="C7" s="666"/>
      <c r="D7" s="666"/>
      <c r="E7" s="666"/>
      <c r="F7" s="666"/>
      <c r="G7" s="666"/>
    </row>
    <row r="8" spans="1:7" s="669" customFormat="1" ht="12" customHeight="1" thickBot="1">
      <c r="A8" s="660" t="s">
        <v>16</v>
      </c>
      <c r="B8" s="667" t="s">
        <v>513</v>
      </c>
      <c r="C8" s="668">
        <f>SUM(C9:C19)</f>
        <v>0</v>
      </c>
      <c r="D8" s="668">
        <f>SUM(D9:D19)</f>
        <v>0</v>
      </c>
      <c r="E8" s="668">
        <f>SUM(E9:E19)</f>
        <v>0</v>
      </c>
      <c r="F8" s="668">
        <f>SUM(F9:F19)</f>
        <v>0</v>
      </c>
      <c r="G8" s="668">
        <f>SUM(G9:G19)</f>
        <v>0</v>
      </c>
    </row>
    <row r="9" spans="1:7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  <c r="G9" s="672"/>
    </row>
    <row r="10" spans="1:7" s="669" customFormat="1" ht="12" customHeight="1">
      <c r="A10" s="673" t="s">
        <v>96</v>
      </c>
      <c r="B10" s="674" t="s">
        <v>273</v>
      </c>
      <c r="C10" s="675"/>
      <c r="D10" s="675"/>
      <c r="E10" s="675"/>
      <c r="F10" s="675"/>
      <c r="G10" s="675"/>
    </row>
    <row r="11" spans="1:7" s="669" customFormat="1" ht="12" customHeight="1">
      <c r="A11" s="673" t="s">
        <v>97</v>
      </c>
      <c r="B11" s="674" t="s">
        <v>274</v>
      </c>
      <c r="C11" s="675"/>
      <c r="D11" s="675"/>
      <c r="E11" s="675"/>
      <c r="F11" s="675"/>
      <c r="G11" s="675"/>
    </row>
    <row r="12" spans="1:7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  <c r="G12" s="675"/>
    </row>
    <row r="13" spans="1:7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  <c r="G13" s="675"/>
    </row>
    <row r="14" spans="1:7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  <c r="G14" s="675"/>
    </row>
    <row r="15" spans="1:7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  <c r="G15" s="675"/>
    </row>
    <row r="16" spans="1:7" s="669" customFormat="1" ht="12" customHeight="1">
      <c r="A16" s="673" t="s">
        <v>110</v>
      </c>
      <c r="B16" s="674" t="s">
        <v>279</v>
      </c>
      <c r="C16" s="677"/>
      <c r="D16" s="677"/>
      <c r="E16" s="677"/>
      <c r="F16" s="677"/>
      <c r="G16" s="677"/>
    </row>
    <row r="17" spans="1:7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  <c r="G17" s="675"/>
    </row>
    <row r="18" spans="1:7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  <c r="G18" s="679"/>
    </row>
    <row r="19" spans="1:7" s="678" customFormat="1" ht="12" customHeight="1" thickBot="1">
      <c r="A19" s="673" t="s">
        <v>113</v>
      </c>
      <c r="B19" s="676" t="s">
        <v>281</v>
      </c>
      <c r="C19" s="679"/>
      <c r="D19" s="679"/>
      <c r="E19" s="679"/>
      <c r="F19" s="679"/>
      <c r="G19" s="679"/>
    </row>
    <row r="20" spans="1:7" s="669" customFormat="1" ht="12" customHeight="1" thickBot="1">
      <c r="A20" s="660" t="s">
        <v>17</v>
      </c>
      <c r="B20" s="667" t="s">
        <v>399</v>
      </c>
      <c r="C20" s="668">
        <f>SUM(C21:C23)</f>
        <v>0</v>
      </c>
      <c r="D20" s="668">
        <f>SUM(D21:D23)</f>
        <v>0</v>
      </c>
      <c r="E20" s="668">
        <f>SUM(E21:E23)</f>
        <v>0</v>
      </c>
      <c r="F20" s="668">
        <f>SUM(F21:F23)</f>
        <v>0</v>
      </c>
      <c r="G20" s="668">
        <f>SUM(G21:G23)</f>
        <v>0</v>
      </c>
    </row>
    <row r="21" spans="1:7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  <c r="G21" s="675"/>
    </row>
    <row r="22" spans="1:7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  <c r="G22" s="675"/>
    </row>
    <row r="23" spans="1:7" s="678" customFormat="1" ht="12" customHeight="1">
      <c r="A23" s="673" t="s">
        <v>103</v>
      </c>
      <c r="B23" s="674" t="s">
        <v>401</v>
      </c>
      <c r="C23" s="675"/>
      <c r="D23" s="675"/>
      <c r="E23" s="675"/>
      <c r="F23" s="675"/>
      <c r="G23" s="675"/>
    </row>
    <row r="24" spans="1:7" s="678" customFormat="1" ht="12" customHeight="1" thickBot="1">
      <c r="A24" s="673" t="s">
        <v>104</v>
      </c>
      <c r="B24" s="674" t="s">
        <v>518</v>
      </c>
      <c r="C24" s="675"/>
      <c r="D24" s="675"/>
      <c r="E24" s="675"/>
      <c r="F24" s="675"/>
      <c r="G24" s="675"/>
    </row>
    <row r="25" spans="1:7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  <c r="G25" s="683"/>
    </row>
    <row r="26" spans="1:7" s="678" customFormat="1" ht="12" customHeight="1" thickBot="1">
      <c r="A26" s="681" t="s">
        <v>19</v>
      </c>
      <c r="B26" s="682" t="s">
        <v>402</v>
      </c>
      <c r="C26" s="668">
        <f>+C27+C28</f>
        <v>0</v>
      </c>
      <c r="D26" s="668">
        <f>+D27+D28</f>
        <v>0</v>
      </c>
      <c r="E26" s="668">
        <f>+E27+E28</f>
        <v>0</v>
      </c>
      <c r="F26" s="668">
        <f>+F27+F28</f>
        <v>0</v>
      </c>
      <c r="G26" s="668">
        <f>+G27+G28</f>
        <v>0</v>
      </c>
    </row>
    <row r="27" spans="1:7" s="678" customFormat="1" ht="12" customHeight="1">
      <c r="A27" s="684" t="s">
        <v>259</v>
      </c>
      <c r="B27" s="685" t="s">
        <v>400</v>
      </c>
      <c r="C27" s="686"/>
      <c r="D27" s="686"/>
      <c r="E27" s="686"/>
      <c r="F27" s="686"/>
      <c r="G27" s="686"/>
    </row>
    <row r="28" spans="1:7" s="678" customFormat="1" ht="12" customHeight="1">
      <c r="A28" s="684" t="s">
        <v>262</v>
      </c>
      <c r="B28" s="687" t="s">
        <v>403</v>
      </c>
      <c r="C28" s="690"/>
      <c r="D28" s="690"/>
      <c r="E28" s="690"/>
      <c r="F28" s="690"/>
      <c r="G28" s="690"/>
    </row>
    <row r="29" spans="1:7" s="678" customFormat="1" ht="12" customHeight="1" thickBot="1">
      <c r="A29" s="673" t="s">
        <v>263</v>
      </c>
      <c r="B29" s="688" t="s">
        <v>519</v>
      </c>
      <c r="C29" s="689"/>
      <c r="D29" s="689"/>
      <c r="E29" s="689"/>
      <c r="F29" s="689"/>
      <c r="G29" s="689"/>
    </row>
    <row r="30" spans="1:7" s="678" customFormat="1" ht="12" customHeight="1" thickBot="1">
      <c r="A30" s="681" t="s">
        <v>20</v>
      </c>
      <c r="B30" s="682" t="s">
        <v>404</v>
      </c>
      <c r="C30" s="668">
        <f>+C31+C32+C33</f>
        <v>0</v>
      </c>
      <c r="D30" s="668">
        <f>+D31+D32+D33</f>
        <v>0</v>
      </c>
      <c r="E30" s="668">
        <f>+E31+E32+E33</f>
        <v>0</v>
      </c>
      <c r="F30" s="668">
        <f>+F31+F32+F33</f>
        <v>0</v>
      </c>
      <c r="G30" s="668">
        <f>+G31+G32+G33</f>
        <v>0</v>
      </c>
    </row>
    <row r="31" spans="1:7" s="678" customFormat="1" ht="12" customHeight="1">
      <c r="A31" s="684" t="s">
        <v>88</v>
      </c>
      <c r="B31" s="685" t="s">
        <v>286</v>
      </c>
      <c r="C31" s="686"/>
      <c r="D31" s="686"/>
      <c r="E31" s="686"/>
      <c r="F31" s="686"/>
      <c r="G31" s="686"/>
    </row>
    <row r="32" spans="1:7" s="678" customFormat="1" ht="12" customHeight="1">
      <c r="A32" s="684" t="s">
        <v>89</v>
      </c>
      <c r="B32" s="687" t="s">
        <v>287</v>
      </c>
      <c r="C32" s="690"/>
      <c r="D32" s="690"/>
      <c r="E32" s="690"/>
      <c r="F32" s="690"/>
      <c r="G32" s="690"/>
    </row>
    <row r="33" spans="1:7" s="678" customFormat="1" ht="12" customHeight="1" thickBot="1">
      <c r="A33" s="673" t="s">
        <v>90</v>
      </c>
      <c r="B33" s="688" t="s">
        <v>288</v>
      </c>
      <c r="C33" s="689"/>
      <c r="D33" s="689"/>
      <c r="E33" s="689"/>
      <c r="F33" s="689"/>
      <c r="G33" s="689"/>
    </row>
    <row r="34" spans="1:7" s="669" customFormat="1" ht="12" customHeight="1" thickBot="1">
      <c r="A34" s="681" t="s">
        <v>21</v>
      </c>
      <c r="B34" s="682" t="s">
        <v>373</v>
      </c>
      <c r="C34" s="683"/>
      <c r="D34" s="683"/>
      <c r="E34" s="683"/>
      <c r="F34" s="683"/>
      <c r="G34" s="683"/>
    </row>
    <row r="35" spans="1:7" s="669" customFormat="1" ht="12" customHeight="1" thickBot="1">
      <c r="A35" s="681" t="s">
        <v>22</v>
      </c>
      <c r="B35" s="682" t="s">
        <v>405</v>
      </c>
      <c r="C35" s="691"/>
      <c r="D35" s="691"/>
      <c r="E35" s="691"/>
      <c r="F35" s="691"/>
      <c r="G35" s="691"/>
    </row>
    <row r="36" spans="1:7" s="669" customFormat="1" ht="12" customHeight="1" thickBot="1">
      <c r="A36" s="660" t="s">
        <v>23</v>
      </c>
      <c r="B36" s="682" t="s">
        <v>520</v>
      </c>
      <c r="C36" s="692">
        <f>+C8+C20+C25+C26+C30+C34+C35</f>
        <v>0</v>
      </c>
      <c r="D36" s="692">
        <f>+D8+D20+D25+D26+D30+D34+D35</f>
        <v>0</v>
      </c>
      <c r="E36" s="692">
        <f>+E8+E20+E25+E26+E30+E34+E35</f>
        <v>0</v>
      </c>
      <c r="F36" s="692">
        <f>+F8+F20+F25+F26+F30+F34+F35</f>
        <v>0</v>
      </c>
      <c r="G36" s="692">
        <f>+G8+G20+G25+G26+G30+G34+G35</f>
        <v>0</v>
      </c>
    </row>
    <row r="37" spans="1:7" s="669" customFormat="1" ht="12" customHeight="1" thickBot="1">
      <c r="A37" s="693" t="s">
        <v>24</v>
      </c>
      <c r="B37" s="682" t="s">
        <v>407</v>
      </c>
      <c r="C37" s="692">
        <f>+C38+C39+C40</f>
        <v>0</v>
      </c>
      <c r="D37" s="692">
        <f>+D38+D39+D40</f>
        <v>0</v>
      </c>
      <c r="E37" s="692">
        <f>+E38+E39+E40</f>
        <v>0</v>
      </c>
      <c r="F37" s="692">
        <f>+F38+F39+F40</f>
        <v>0</v>
      </c>
      <c r="G37" s="692">
        <f>+G38+G39+G40</f>
        <v>0</v>
      </c>
    </row>
    <row r="38" spans="1:7" s="669" customFormat="1" ht="12" customHeight="1">
      <c r="A38" s="684" t="s">
        <v>408</v>
      </c>
      <c r="B38" s="685" t="s">
        <v>229</v>
      </c>
      <c r="C38" s="686"/>
      <c r="D38" s="686"/>
      <c r="E38" s="686"/>
      <c r="F38" s="686"/>
      <c r="G38" s="686"/>
    </row>
    <row r="39" spans="1:7" s="669" customFormat="1" ht="12" customHeight="1">
      <c r="A39" s="684" t="s">
        <v>409</v>
      </c>
      <c r="B39" s="687" t="s">
        <v>2</v>
      </c>
      <c r="C39" s="690"/>
      <c r="D39" s="690"/>
      <c r="E39" s="690"/>
      <c r="F39" s="690"/>
      <c r="G39" s="690"/>
    </row>
    <row r="40" spans="1:7" s="678" customFormat="1" ht="12" customHeight="1" thickBot="1">
      <c r="A40" s="673" t="s">
        <v>410</v>
      </c>
      <c r="B40" s="688" t="s">
        <v>411</v>
      </c>
      <c r="C40" s="689"/>
      <c r="D40" s="689"/>
      <c r="E40" s="689"/>
      <c r="F40" s="689"/>
      <c r="G40" s="689"/>
    </row>
    <row r="41" spans="1:7" s="678" customFormat="1" ht="15" customHeight="1" thickBot="1">
      <c r="A41" s="693" t="s">
        <v>25</v>
      </c>
      <c r="B41" s="694" t="s">
        <v>412</v>
      </c>
      <c r="C41" s="695">
        <f>+C36+C37</f>
        <v>0</v>
      </c>
      <c r="D41" s="695">
        <f>+D36+D37</f>
        <v>0</v>
      </c>
      <c r="E41" s="695">
        <f>+E36+E37</f>
        <v>0</v>
      </c>
      <c r="F41" s="695">
        <f>+F36+F37</f>
        <v>0</v>
      </c>
      <c r="G41" s="695">
        <f>+G36+G37</f>
        <v>0</v>
      </c>
    </row>
    <row r="42" spans="1:7" s="678" customFormat="1" ht="15" customHeight="1">
      <c r="A42" s="696"/>
      <c r="B42" s="697"/>
      <c r="C42" s="698"/>
      <c r="D42" s="698"/>
      <c r="E42" s="698"/>
      <c r="F42" s="698"/>
      <c r="G42" s="698"/>
    </row>
    <row r="43" spans="1:7" ht="13.5" thickBot="1">
      <c r="A43" s="699"/>
      <c r="B43" s="700"/>
      <c r="C43" s="701"/>
      <c r="D43" s="701"/>
      <c r="E43" s="701"/>
      <c r="F43" s="701"/>
      <c r="G43" s="701"/>
    </row>
    <row r="44" spans="1:7" s="663" customFormat="1" ht="16.5" customHeight="1" thickBot="1">
      <c r="A44" s="702"/>
      <c r="B44" s="703" t="s">
        <v>54</v>
      </c>
      <c r="C44" s="695"/>
      <c r="D44" s="695"/>
      <c r="E44" s="695"/>
      <c r="F44" s="695"/>
      <c r="G44" s="695"/>
    </row>
    <row r="45" spans="1:7" s="704" customFormat="1" ht="12" customHeight="1" thickBot="1">
      <c r="A45" s="681" t="s">
        <v>16</v>
      </c>
      <c r="B45" s="682" t="s">
        <v>413</v>
      </c>
      <c r="C45" s="668">
        <f>SUM(C46:C50)</f>
        <v>0</v>
      </c>
      <c r="D45" s="668">
        <f>SUM(D46:D50)</f>
        <v>0</v>
      </c>
      <c r="E45" s="668">
        <f>SUM(E46:E50)</f>
        <v>0</v>
      </c>
      <c r="F45" s="668">
        <f>SUM(F46:F50)</f>
        <v>0</v>
      </c>
      <c r="G45" s="668">
        <f>SUM(G46:G50)</f>
        <v>0</v>
      </c>
    </row>
    <row r="46" spans="1:7" ht="12" customHeight="1">
      <c r="A46" s="673" t="s">
        <v>95</v>
      </c>
      <c r="B46" s="680" t="s">
        <v>46</v>
      </c>
      <c r="C46" s="686"/>
      <c r="D46" s="686"/>
      <c r="E46" s="686"/>
      <c r="F46" s="686"/>
      <c r="G46" s="686"/>
    </row>
    <row r="47" spans="1:7" ht="12" customHeight="1">
      <c r="A47" s="673" t="s">
        <v>96</v>
      </c>
      <c r="B47" s="674" t="s">
        <v>174</v>
      </c>
      <c r="C47" s="705"/>
      <c r="D47" s="705"/>
      <c r="E47" s="705"/>
      <c r="F47" s="705"/>
      <c r="G47" s="705"/>
    </row>
    <row r="48" spans="1:7" ht="12" customHeight="1">
      <c r="A48" s="673" t="s">
        <v>97</v>
      </c>
      <c r="B48" s="674" t="s">
        <v>133</v>
      </c>
      <c r="C48" s="705"/>
      <c r="D48" s="705"/>
      <c r="E48" s="705"/>
      <c r="F48" s="705"/>
      <c r="G48" s="705"/>
    </row>
    <row r="49" spans="1:7" ht="12" customHeight="1">
      <c r="A49" s="673" t="s">
        <v>98</v>
      </c>
      <c r="B49" s="674" t="s">
        <v>175</v>
      </c>
      <c r="C49" s="705"/>
      <c r="D49" s="705"/>
      <c r="E49" s="705"/>
      <c r="F49" s="705"/>
      <c r="G49" s="705"/>
    </row>
    <row r="50" spans="1:7" ht="12" customHeight="1" thickBot="1">
      <c r="A50" s="673" t="s">
        <v>141</v>
      </c>
      <c r="B50" s="674" t="s">
        <v>176</v>
      </c>
      <c r="C50" s="705"/>
      <c r="D50" s="705"/>
      <c r="E50" s="705"/>
      <c r="F50" s="705"/>
      <c r="G50" s="705"/>
    </row>
    <row r="51" spans="1:7" ht="12" customHeight="1" thickBot="1">
      <c r="A51" s="681" t="s">
        <v>17</v>
      </c>
      <c r="B51" s="682" t="s">
        <v>414</v>
      </c>
      <c r="C51" s="668">
        <f>SUM(C52:C54)</f>
        <v>0</v>
      </c>
      <c r="D51" s="668">
        <f>SUM(D52:D54)</f>
        <v>0</v>
      </c>
      <c r="E51" s="668">
        <f>SUM(E52:E54)</f>
        <v>0</v>
      </c>
      <c r="F51" s="668">
        <f>SUM(F52:F54)</f>
        <v>0</v>
      </c>
      <c r="G51" s="668">
        <f>SUM(G52:G54)</f>
        <v>0</v>
      </c>
    </row>
    <row r="52" spans="1:7" s="704" customFormat="1" ht="12" customHeight="1">
      <c r="A52" s="673" t="s">
        <v>101</v>
      </c>
      <c r="B52" s="680" t="s">
        <v>219</v>
      </c>
      <c r="C52" s="686"/>
      <c r="D52" s="686"/>
      <c r="E52" s="686"/>
      <c r="F52" s="686"/>
      <c r="G52" s="686"/>
    </row>
    <row r="53" spans="1:7" ht="12" customHeight="1">
      <c r="A53" s="673" t="s">
        <v>102</v>
      </c>
      <c r="B53" s="674" t="s">
        <v>178</v>
      </c>
      <c r="C53" s="705"/>
      <c r="D53" s="705"/>
      <c r="E53" s="705"/>
      <c r="F53" s="705"/>
      <c r="G53" s="705"/>
    </row>
    <row r="54" spans="1:7" ht="12" customHeight="1">
      <c r="A54" s="673" t="s">
        <v>103</v>
      </c>
      <c r="B54" s="674" t="s">
        <v>55</v>
      </c>
      <c r="C54" s="705"/>
      <c r="D54" s="705"/>
      <c r="E54" s="705"/>
      <c r="F54" s="705"/>
      <c r="G54" s="705"/>
    </row>
    <row r="55" spans="1:7" ht="12" customHeight="1" thickBot="1">
      <c r="A55" s="673" t="s">
        <v>104</v>
      </c>
      <c r="B55" s="674" t="s">
        <v>517</v>
      </c>
      <c r="C55" s="705"/>
      <c r="D55" s="705"/>
      <c r="E55" s="705"/>
      <c r="F55" s="705"/>
      <c r="G55" s="705"/>
    </row>
    <row r="56" spans="1:7" ht="15" customHeight="1" thickBot="1">
      <c r="A56" s="681" t="s">
        <v>18</v>
      </c>
      <c r="B56" s="682" t="s">
        <v>12</v>
      </c>
      <c r="C56" s="683"/>
      <c r="D56" s="683"/>
      <c r="E56" s="683"/>
      <c r="F56" s="683"/>
      <c r="G56" s="683"/>
    </row>
    <row r="57" spans="1:7" ht="13.5" thickBot="1">
      <c r="A57" s="681" t="s">
        <v>19</v>
      </c>
      <c r="B57" s="706" t="s">
        <v>522</v>
      </c>
      <c r="C57" s="707">
        <f>+C45+C51+C56</f>
        <v>0</v>
      </c>
      <c r="D57" s="707">
        <f>+D45+D51+D56</f>
        <v>0</v>
      </c>
      <c r="E57" s="707">
        <f>+E45+E51+E56</f>
        <v>0</v>
      </c>
      <c r="F57" s="707">
        <f>+F45+F51+F56</f>
        <v>0</v>
      </c>
      <c r="G57" s="707">
        <f>+G45+G51+G56</f>
        <v>0</v>
      </c>
    </row>
    <row r="58" spans="1:7" ht="15" customHeight="1" thickBot="1">
      <c r="C58" s="709"/>
      <c r="D58" s="709"/>
      <c r="E58" s="709"/>
      <c r="F58" s="709"/>
      <c r="G58" s="709"/>
    </row>
    <row r="59" spans="1:7" ht="14.25" customHeight="1" thickBot="1">
      <c r="A59" s="710" t="s">
        <v>512</v>
      </c>
      <c r="B59" s="711"/>
      <c r="C59" s="712"/>
      <c r="D59" s="712"/>
      <c r="E59" s="712"/>
      <c r="F59" s="712"/>
      <c r="G59" s="712"/>
    </row>
    <row r="60" spans="1:7" ht="13.5" thickBot="1">
      <c r="A60" s="710" t="s">
        <v>196</v>
      </c>
      <c r="B60" s="711"/>
      <c r="C60" s="712"/>
      <c r="D60" s="712"/>
      <c r="E60" s="712"/>
      <c r="F60" s="712"/>
      <c r="G60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G60"/>
  <sheetViews>
    <sheetView topLeftCell="C1" zoomScaleNormal="100" workbookViewId="0">
      <selection activeCell="B36" sqref="B36"/>
    </sheetView>
  </sheetViews>
  <sheetFormatPr defaultRowHeight="12.75"/>
  <cols>
    <col min="1" max="1" width="13.83203125" style="708" customWidth="1"/>
    <col min="2" max="2" width="79.1640625" style="659" customWidth="1"/>
    <col min="3" max="7" width="25" style="659" customWidth="1"/>
    <col min="8" max="16384" width="9.33203125" style="659"/>
  </cols>
  <sheetData>
    <row r="1" spans="1:7" s="645" customFormat="1" ht="21" customHeight="1" thickBot="1">
      <c r="A1" s="643"/>
      <c r="B1" s="644" t="str">
        <f>+CONCATENATE("9.3.3. melléklet a ……/",LEFT([1]ÖSSZEFÜGGÉSEK!E5,4),". (….) önkormányzati rendelethez")</f>
        <v>9.3.3. melléklet a ……/. (….) önkormányzati rendelethez</v>
      </c>
      <c r="C1" s="644"/>
      <c r="D1" s="644"/>
      <c r="E1" s="644"/>
      <c r="F1" s="644"/>
      <c r="G1" s="644"/>
    </row>
    <row r="2" spans="1:7" s="649" customFormat="1" ht="33" customHeight="1">
      <c r="A2" s="646" t="s">
        <v>194</v>
      </c>
      <c r="B2" s="647" t="s">
        <v>540</v>
      </c>
      <c r="C2" s="648" t="s">
        <v>57</v>
      </c>
      <c r="D2" s="648" t="s">
        <v>57</v>
      </c>
      <c r="E2" s="648" t="s">
        <v>57</v>
      </c>
      <c r="F2" s="648" t="s">
        <v>57</v>
      </c>
      <c r="G2" s="648" t="s">
        <v>57</v>
      </c>
    </row>
    <row r="3" spans="1:7" s="649" customFormat="1" ht="24.75" thickBot="1">
      <c r="A3" s="650" t="s">
        <v>193</v>
      </c>
      <c r="B3" s="651" t="s">
        <v>523</v>
      </c>
      <c r="C3" s="652" t="s">
        <v>427</v>
      </c>
      <c r="D3" s="652" t="s">
        <v>427</v>
      </c>
      <c r="E3" s="652" t="s">
        <v>427</v>
      </c>
      <c r="F3" s="652" t="s">
        <v>427</v>
      </c>
      <c r="G3" s="652" t="s">
        <v>427</v>
      </c>
    </row>
    <row r="4" spans="1:7" s="655" customFormat="1" ht="15.95" customHeight="1" thickBot="1">
      <c r="A4" s="653"/>
      <c r="B4" s="653"/>
      <c r="C4" s="654" t="s">
        <v>599</v>
      </c>
      <c r="D4" s="654" t="s">
        <v>599</v>
      </c>
      <c r="E4" s="654" t="s">
        <v>599</v>
      </c>
      <c r="F4" s="654" t="s">
        <v>599</v>
      </c>
      <c r="G4" s="654" t="s">
        <v>599</v>
      </c>
    </row>
    <row r="5" spans="1:7" ht="24.75" thickBot="1">
      <c r="A5" s="656" t="s">
        <v>195</v>
      </c>
      <c r="B5" s="657" t="s">
        <v>52</v>
      </c>
      <c r="C5" s="658" t="s">
        <v>687</v>
      </c>
      <c r="D5" s="658" t="s">
        <v>743</v>
      </c>
      <c r="E5" s="658" t="s">
        <v>760</v>
      </c>
      <c r="F5" s="658" t="s">
        <v>773</v>
      </c>
      <c r="G5" s="658" t="s">
        <v>780</v>
      </c>
    </row>
    <row r="6" spans="1:7" s="663" customFormat="1" ht="12.95" customHeight="1" thickBot="1">
      <c r="A6" s="660" t="s">
        <v>485</v>
      </c>
      <c r="B6" s="661" t="s">
        <v>486</v>
      </c>
      <c r="C6" s="662" t="s">
        <v>487</v>
      </c>
      <c r="D6" s="662" t="s">
        <v>487</v>
      </c>
      <c r="E6" s="662" t="s">
        <v>487</v>
      </c>
      <c r="F6" s="662" t="s">
        <v>487</v>
      </c>
      <c r="G6" s="662" t="s">
        <v>487</v>
      </c>
    </row>
    <row r="7" spans="1:7" s="663" customFormat="1" ht="15.95" customHeight="1" thickBot="1">
      <c r="A7" s="664"/>
      <c r="B7" s="665" t="s">
        <v>53</v>
      </c>
      <c r="C7" s="666"/>
      <c r="D7" s="666"/>
      <c r="E7" s="666"/>
      <c r="F7" s="666"/>
      <c r="G7" s="666"/>
    </row>
    <row r="8" spans="1:7" s="669" customFormat="1" ht="12" customHeight="1" thickBot="1">
      <c r="A8" s="660" t="s">
        <v>16</v>
      </c>
      <c r="B8" s="667" t="s">
        <v>513</v>
      </c>
      <c r="C8" s="668">
        <f>SUM(C9:C19)</f>
        <v>0</v>
      </c>
      <c r="D8" s="668">
        <f>SUM(D9:D19)</f>
        <v>0</v>
      </c>
      <c r="E8" s="668">
        <f>SUM(E9:E19)</f>
        <v>0</v>
      </c>
      <c r="F8" s="668">
        <f>SUM(F9:F19)</f>
        <v>0</v>
      </c>
      <c r="G8" s="668">
        <f>SUM(G9:G19)</f>
        <v>0</v>
      </c>
    </row>
    <row r="9" spans="1:7" s="669" customFormat="1" ht="12" customHeight="1">
      <c r="A9" s="670" t="s">
        <v>95</v>
      </c>
      <c r="B9" s="671" t="s">
        <v>272</v>
      </c>
      <c r="C9" s="672"/>
      <c r="D9" s="672"/>
      <c r="E9" s="672"/>
      <c r="F9" s="672"/>
      <c r="G9" s="672"/>
    </row>
    <row r="10" spans="1:7" s="669" customFormat="1" ht="12" customHeight="1">
      <c r="A10" s="673" t="s">
        <v>96</v>
      </c>
      <c r="B10" s="674" t="s">
        <v>273</v>
      </c>
      <c r="C10" s="675"/>
      <c r="D10" s="675"/>
      <c r="E10" s="675"/>
      <c r="F10" s="675"/>
      <c r="G10" s="675"/>
    </row>
    <row r="11" spans="1:7" s="669" customFormat="1" ht="12" customHeight="1">
      <c r="A11" s="673" t="s">
        <v>97</v>
      </c>
      <c r="B11" s="674" t="s">
        <v>274</v>
      </c>
      <c r="C11" s="675"/>
      <c r="D11" s="675"/>
      <c r="E11" s="675"/>
      <c r="F11" s="675"/>
      <c r="G11" s="675"/>
    </row>
    <row r="12" spans="1:7" s="669" customFormat="1" ht="12" customHeight="1">
      <c r="A12" s="673" t="s">
        <v>98</v>
      </c>
      <c r="B12" s="674" t="s">
        <v>275</v>
      </c>
      <c r="C12" s="675"/>
      <c r="D12" s="675"/>
      <c r="E12" s="675"/>
      <c r="F12" s="675"/>
      <c r="G12" s="675"/>
    </row>
    <row r="13" spans="1:7" s="669" customFormat="1" ht="12" customHeight="1">
      <c r="A13" s="673" t="s">
        <v>141</v>
      </c>
      <c r="B13" s="674" t="s">
        <v>276</v>
      </c>
      <c r="C13" s="675"/>
      <c r="D13" s="675"/>
      <c r="E13" s="675"/>
      <c r="F13" s="675"/>
      <c r="G13" s="675"/>
    </row>
    <row r="14" spans="1:7" s="669" customFormat="1" ht="12" customHeight="1">
      <c r="A14" s="673" t="s">
        <v>99</v>
      </c>
      <c r="B14" s="674" t="s">
        <v>397</v>
      </c>
      <c r="C14" s="675"/>
      <c r="D14" s="675"/>
      <c r="E14" s="675"/>
      <c r="F14" s="675"/>
      <c r="G14" s="675"/>
    </row>
    <row r="15" spans="1:7" s="669" customFormat="1" ht="12" customHeight="1">
      <c r="A15" s="673" t="s">
        <v>100</v>
      </c>
      <c r="B15" s="676" t="s">
        <v>398</v>
      </c>
      <c r="C15" s="675"/>
      <c r="D15" s="675"/>
      <c r="E15" s="675"/>
      <c r="F15" s="675"/>
      <c r="G15" s="675"/>
    </row>
    <row r="16" spans="1:7" s="669" customFormat="1" ht="12" customHeight="1">
      <c r="A16" s="673" t="s">
        <v>110</v>
      </c>
      <c r="B16" s="674" t="s">
        <v>279</v>
      </c>
      <c r="C16" s="677"/>
      <c r="D16" s="677"/>
      <c r="E16" s="677"/>
      <c r="F16" s="677"/>
      <c r="G16" s="677"/>
    </row>
    <row r="17" spans="1:7" s="678" customFormat="1" ht="12" customHeight="1">
      <c r="A17" s="673" t="s">
        <v>111</v>
      </c>
      <c r="B17" s="674" t="s">
        <v>280</v>
      </c>
      <c r="C17" s="675"/>
      <c r="D17" s="675"/>
      <c r="E17" s="675"/>
      <c r="F17" s="675"/>
      <c r="G17" s="675"/>
    </row>
    <row r="18" spans="1:7" s="678" customFormat="1" ht="12" customHeight="1">
      <c r="A18" s="673" t="s">
        <v>112</v>
      </c>
      <c r="B18" s="674" t="s">
        <v>432</v>
      </c>
      <c r="C18" s="679"/>
      <c r="D18" s="679"/>
      <c r="E18" s="679"/>
      <c r="F18" s="679"/>
      <c r="G18" s="679"/>
    </row>
    <row r="19" spans="1:7" s="678" customFormat="1" ht="12" customHeight="1" thickBot="1">
      <c r="A19" s="673" t="s">
        <v>113</v>
      </c>
      <c r="B19" s="676" t="s">
        <v>281</v>
      </c>
      <c r="C19" s="679"/>
      <c r="D19" s="679"/>
      <c r="E19" s="679"/>
      <c r="F19" s="679"/>
      <c r="G19" s="679"/>
    </row>
    <row r="20" spans="1:7" s="669" customFormat="1" ht="12" customHeight="1" thickBot="1">
      <c r="A20" s="660" t="s">
        <v>17</v>
      </c>
      <c r="B20" s="667" t="s">
        <v>399</v>
      </c>
      <c r="C20" s="668">
        <f>SUM(C21:C23)</f>
        <v>0</v>
      </c>
      <c r="D20" s="668">
        <f>SUM(D21:D23)</f>
        <v>0</v>
      </c>
      <c r="E20" s="668">
        <f>SUM(E21:E23)</f>
        <v>0</v>
      </c>
      <c r="F20" s="668">
        <f>SUM(F21:F23)</f>
        <v>0</v>
      </c>
      <c r="G20" s="668">
        <f>SUM(G21:G23)</f>
        <v>0</v>
      </c>
    </row>
    <row r="21" spans="1:7" s="678" customFormat="1" ht="12" customHeight="1">
      <c r="A21" s="673" t="s">
        <v>101</v>
      </c>
      <c r="B21" s="680" t="s">
        <v>249</v>
      </c>
      <c r="C21" s="675"/>
      <c r="D21" s="675"/>
      <c r="E21" s="675"/>
      <c r="F21" s="675"/>
      <c r="G21" s="675"/>
    </row>
    <row r="22" spans="1:7" s="678" customFormat="1" ht="12" customHeight="1">
      <c r="A22" s="673" t="s">
        <v>102</v>
      </c>
      <c r="B22" s="674" t="s">
        <v>400</v>
      </c>
      <c r="C22" s="675"/>
      <c r="D22" s="675"/>
      <c r="E22" s="675"/>
      <c r="F22" s="675"/>
      <c r="G22" s="675"/>
    </row>
    <row r="23" spans="1:7" s="678" customFormat="1" ht="12" customHeight="1">
      <c r="A23" s="673" t="s">
        <v>103</v>
      </c>
      <c r="B23" s="674" t="s">
        <v>401</v>
      </c>
      <c r="C23" s="675"/>
      <c r="D23" s="675"/>
      <c r="E23" s="675"/>
      <c r="F23" s="675"/>
      <c r="G23" s="675"/>
    </row>
    <row r="24" spans="1:7" s="678" customFormat="1" ht="12" customHeight="1" thickBot="1">
      <c r="A24" s="673" t="s">
        <v>104</v>
      </c>
      <c r="B24" s="674" t="s">
        <v>518</v>
      </c>
      <c r="C24" s="675"/>
      <c r="D24" s="675"/>
      <c r="E24" s="675"/>
      <c r="F24" s="675"/>
      <c r="G24" s="675"/>
    </row>
    <row r="25" spans="1:7" s="678" customFormat="1" ht="12" customHeight="1" thickBot="1">
      <c r="A25" s="681" t="s">
        <v>18</v>
      </c>
      <c r="B25" s="682" t="s">
        <v>165</v>
      </c>
      <c r="C25" s="683"/>
      <c r="D25" s="683"/>
      <c r="E25" s="683"/>
      <c r="F25" s="683"/>
      <c r="G25" s="683"/>
    </row>
    <row r="26" spans="1:7" s="678" customFormat="1" ht="12" customHeight="1" thickBot="1">
      <c r="A26" s="681" t="s">
        <v>19</v>
      </c>
      <c r="B26" s="682" t="s">
        <v>402</v>
      </c>
      <c r="C26" s="668">
        <f>+C27+C28</f>
        <v>0</v>
      </c>
      <c r="D26" s="668">
        <f>+D27+D28</f>
        <v>0</v>
      </c>
      <c r="E26" s="668">
        <f>+E27+E28</f>
        <v>0</v>
      </c>
      <c r="F26" s="668">
        <f>+F27+F28</f>
        <v>0</v>
      </c>
      <c r="G26" s="668">
        <f>+G27+G28</f>
        <v>0</v>
      </c>
    </row>
    <row r="27" spans="1:7" s="678" customFormat="1" ht="12" customHeight="1">
      <c r="A27" s="684" t="s">
        <v>259</v>
      </c>
      <c r="B27" s="685" t="s">
        <v>400</v>
      </c>
      <c r="C27" s="686"/>
      <c r="D27" s="686"/>
      <c r="E27" s="686"/>
      <c r="F27" s="686"/>
      <c r="G27" s="686"/>
    </row>
    <row r="28" spans="1:7" s="678" customFormat="1" ht="12" customHeight="1">
      <c r="A28" s="684" t="s">
        <v>262</v>
      </c>
      <c r="B28" s="687" t="s">
        <v>403</v>
      </c>
      <c r="C28" s="690"/>
      <c r="D28" s="690"/>
      <c r="E28" s="690"/>
      <c r="F28" s="690"/>
      <c r="G28" s="690"/>
    </row>
    <row r="29" spans="1:7" s="678" customFormat="1" ht="12" customHeight="1" thickBot="1">
      <c r="A29" s="673" t="s">
        <v>263</v>
      </c>
      <c r="B29" s="688" t="s">
        <v>519</v>
      </c>
      <c r="C29" s="689"/>
      <c r="D29" s="689"/>
      <c r="E29" s="689"/>
      <c r="F29" s="689"/>
      <c r="G29" s="689"/>
    </row>
    <row r="30" spans="1:7" s="678" customFormat="1" ht="12" customHeight="1" thickBot="1">
      <c r="A30" s="681" t="s">
        <v>20</v>
      </c>
      <c r="B30" s="682" t="s">
        <v>404</v>
      </c>
      <c r="C30" s="668">
        <f>+C31+C32+C33</f>
        <v>0</v>
      </c>
      <c r="D30" s="668">
        <f>+D31+D32+D33</f>
        <v>0</v>
      </c>
      <c r="E30" s="668">
        <f>+E31+E32+E33</f>
        <v>0</v>
      </c>
      <c r="F30" s="668">
        <f>+F31+F32+F33</f>
        <v>0</v>
      </c>
      <c r="G30" s="668">
        <f>+G31+G32+G33</f>
        <v>0</v>
      </c>
    </row>
    <row r="31" spans="1:7" s="678" customFormat="1" ht="12" customHeight="1">
      <c r="A31" s="684" t="s">
        <v>88</v>
      </c>
      <c r="B31" s="685" t="s">
        <v>286</v>
      </c>
      <c r="C31" s="686"/>
      <c r="D31" s="686"/>
      <c r="E31" s="686"/>
      <c r="F31" s="686"/>
      <c r="G31" s="686"/>
    </row>
    <row r="32" spans="1:7" s="678" customFormat="1" ht="12" customHeight="1">
      <c r="A32" s="684" t="s">
        <v>89</v>
      </c>
      <c r="B32" s="687" t="s">
        <v>287</v>
      </c>
      <c r="C32" s="690"/>
      <c r="D32" s="690"/>
      <c r="E32" s="690"/>
      <c r="F32" s="690"/>
      <c r="G32" s="690"/>
    </row>
    <row r="33" spans="1:7" s="678" customFormat="1" ht="12" customHeight="1" thickBot="1">
      <c r="A33" s="673" t="s">
        <v>90</v>
      </c>
      <c r="B33" s="688" t="s">
        <v>288</v>
      </c>
      <c r="C33" s="689"/>
      <c r="D33" s="689"/>
      <c r="E33" s="689"/>
      <c r="F33" s="689"/>
      <c r="G33" s="689"/>
    </row>
    <row r="34" spans="1:7" s="669" customFormat="1" ht="12" customHeight="1" thickBot="1">
      <c r="A34" s="681" t="s">
        <v>21</v>
      </c>
      <c r="B34" s="682" t="s">
        <v>373</v>
      </c>
      <c r="C34" s="683"/>
      <c r="D34" s="683"/>
      <c r="E34" s="683"/>
      <c r="F34" s="683"/>
      <c r="G34" s="683"/>
    </row>
    <row r="35" spans="1:7" s="669" customFormat="1" ht="12" customHeight="1" thickBot="1">
      <c r="A35" s="681" t="s">
        <v>22</v>
      </c>
      <c r="B35" s="682" t="s">
        <v>405</v>
      </c>
      <c r="C35" s="691"/>
      <c r="D35" s="691"/>
      <c r="E35" s="691"/>
      <c r="F35" s="691"/>
      <c r="G35" s="691"/>
    </row>
    <row r="36" spans="1:7" s="669" customFormat="1" ht="12" customHeight="1" thickBot="1">
      <c r="A36" s="660" t="s">
        <v>23</v>
      </c>
      <c r="B36" s="682" t="s">
        <v>520</v>
      </c>
      <c r="C36" s="692">
        <f>+C8+C20+C25+C26+C30+C34+C35</f>
        <v>0</v>
      </c>
      <c r="D36" s="692">
        <f>+D8+D20+D25+D26+D30+D34+D35</f>
        <v>0</v>
      </c>
      <c r="E36" s="692">
        <f>+E8+E20+E25+E26+E30+E34+E35</f>
        <v>0</v>
      </c>
      <c r="F36" s="692">
        <f>+F8+F20+F25+F26+F30+F34+F35</f>
        <v>0</v>
      </c>
      <c r="G36" s="692">
        <f>+G8+G20+G25+G26+G30+G34+G35</f>
        <v>0</v>
      </c>
    </row>
    <row r="37" spans="1:7" s="669" customFormat="1" ht="12" customHeight="1" thickBot="1">
      <c r="A37" s="693" t="s">
        <v>24</v>
      </c>
      <c r="B37" s="682" t="s">
        <v>407</v>
      </c>
      <c r="C37" s="692">
        <f>+C38+C39+C40</f>
        <v>0</v>
      </c>
      <c r="D37" s="692">
        <f>+D38+D39+D40</f>
        <v>0</v>
      </c>
      <c r="E37" s="692">
        <f>+E38+E39+E40</f>
        <v>0</v>
      </c>
      <c r="F37" s="692">
        <f>+F38+F39+F40</f>
        <v>0</v>
      </c>
      <c r="G37" s="692">
        <f>+G38+G39+G40</f>
        <v>0</v>
      </c>
    </row>
    <row r="38" spans="1:7" s="669" customFormat="1" ht="12" customHeight="1">
      <c r="A38" s="684" t="s">
        <v>408</v>
      </c>
      <c r="B38" s="685" t="s">
        <v>229</v>
      </c>
      <c r="C38" s="686"/>
      <c r="D38" s="686"/>
      <c r="E38" s="686"/>
      <c r="F38" s="686"/>
      <c r="G38" s="686"/>
    </row>
    <row r="39" spans="1:7" s="669" customFormat="1" ht="12" customHeight="1">
      <c r="A39" s="684" t="s">
        <v>409</v>
      </c>
      <c r="B39" s="687" t="s">
        <v>2</v>
      </c>
      <c r="C39" s="690"/>
      <c r="D39" s="690"/>
      <c r="E39" s="690"/>
      <c r="F39" s="690"/>
      <c r="G39" s="690"/>
    </row>
    <row r="40" spans="1:7" s="678" customFormat="1" ht="12" customHeight="1" thickBot="1">
      <c r="A40" s="673" t="s">
        <v>410</v>
      </c>
      <c r="B40" s="688" t="s">
        <v>411</v>
      </c>
      <c r="C40" s="689"/>
      <c r="D40" s="689"/>
      <c r="E40" s="689"/>
      <c r="F40" s="689"/>
      <c r="G40" s="689"/>
    </row>
    <row r="41" spans="1:7" s="678" customFormat="1" ht="15" customHeight="1" thickBot="1">
      <c r="A41" s="693" t="s">
        <v>25</v>
      </c>
      <c r="B41" s="694" t="s">
        <v>412</v>
      </c>
      <c r="C41" s="695">
        <f>+C36+C37</f>
        <v>0</v>
      </c>
      <c r="D41" s="695">
        <f>+D36+D37</f>
        <v>0</v>
      </c>
      <c r="E41" s="695">
        <f>+E36+E37</f>
        <v>0</v>
      </c>
      <c r="F41" s="695">
        <f>+F36+F37</f>
        <v>0</v>
      </c>
      <c r="G41" s="695">
        <f>+G36+G37</f>
        <v>0</v>
      </c>
    </row>
    <row r="42" spans="1:7" s="678" customFormat="1" ht="15" customHeight="1">
      <c r="A42" s="696"/>
      <c r="B42" s="697"/>
      <c r="C42" s="698"/>
      <c r="D42" s="698"/>
      <c r="E42" s="698"/>
      <c r="F42" s="698"/>
      <c r="G42" s="698"/>
    </row>
    <row r="43" spans="1:7" ht="13.5" thickBot="1">
      <c r="A43" s="699"/>
      <c r="B43" s="700"/>
      <c r="C43" s="701"/>
      <c r="D43" s="701"/>
      <c r="E43" s="701"/>
      <c r="F43" s="701"/>
      <c r="G43" s="701"/>
    </row>
    <row r="44" spans="1:7" s="663" customFormat="1" ht="16.5" customHeight="1" thickBot="1">
      <c r="A44" s="702"/>
      <c r="B44" s="703" t="s">
        <v>54</v>
      </c>
      <c r="C44" s="695"/>
      <c r="D44" s="695"/>
      <c r="E44" s="695"/>
      <c r="F44" s="695"/>
      <c r="G44" s="695"/>
    </row>
    <row r="45" spans="1:7" s="704" customFormat="1" ht="12" customHeight="1" thickBot="1">
      <c r="A45" s="681" t="s">
        <v>16</v>
      </c>
      <c r="B45" s="682" t="s">
        <v>413</v>
      </c>
      <c r="C45" s="668">
        <f>SUM(C46:C50)</f>
        <v>0</v>
      </c>
      <c r="D45" s="668">
        <f>SUM(D46:D50)</f>
        <v>0</v>
      </c>
      <c r="E45" s="668">
        <f>SUM(E46:E50)</f>
        <v>0</v>
      </c>
      <c r="F45" s="668">
        <f>SUM(F46:F50)</f>
        <v>0</v>
      </c>
      <c r="G45" s="668">
        <f>SUM(G46:G50)</f>
        <v>0</v>
      </c>
    </row>
    <row r="46" spans="1:7" ht="12" customHeight="1">
      <c r="A46" s="673" t="s">
        <v>95</v>
      </c>
      <c r="B46" s="680" t="s">
        <v>46</v>
      </c>
      <c r="C46" s="686"/>
      <c r="D46" s="686"/>
      <c r="E46" s="686"/>
      <c r="F46" s="686"/>
      <c r="G46" s="686"/>
    </row>
    <row r="47" spans="1:7" ht="12" customHeight="1">
      <c r="A47" s="673" t="s">
        <v>96</v>
      </c>
      <c r="B47" s="674" t="s">
        <v>174</v>
      </c>
      <c r="C47" s="705"/>
      <c r="D47" s="705"/>
      <c r="E47" s="705"/>
      <c r="F47" s="705"/>
      <c r="G47" s="705"/>
    </row>
    <row r="48" spans="1:7" ht="12" customHeight="1">
      <c r="A48" s="673" t="s">
        <v>97</v>
      </c>
      <c r="B48" s="674" t="s">
        <v>133</v>
      </c>
      <c r="C48" s="705"/>
      <c r="D48" s="705"/>
      <c r="E48" s="705"/>
      <c r="F48" s="705"/>
      <c r="G48" s="705"/>
    </row>
    <row r="49" spans="1:7" ht="12" customHeight="1">
      <c r="A49" s="673" t="s">
        <v>98</v>
      </c>
      <c r="B49" s="674" t="s">
        <v>175</v>
      </c>
      <c r="C49" s="705"/>
      <c r="D49" s="705"/>
      <c r="E49" s="705"/>
      <c r="F49" s="705"/>
      <c r="G49" s="705"/>
    </row>
    <row r="50" spans="1:7" ht="12" customHeight="1" thickBot="1">
      <c r="A50" s="673" t="s">
        <v>141</v>
      </c>
      <c r="B50" s="674" t="s">
        <v>176</v>
      </c>
      <c r="C50" s="705"/>
      <c r="D50" s="705"/>
      <c r="E50" s="705"/>
      <c r="F50" s="705"/>
      <c r="G50" s="705"/>
    </row>
    <row r="51" spans="1:7" ht="12" customHeight="1" thickBot="1">
      <c r="A51" s="681" t="s">
        <v>17</v>
      </c>
      <c r="B51" s="682" t="s">
        <v>414</v>
      </c>
      <c r="C51" s="668">
        <f>SUM(C52:C54)</f>
        <v>0</v>
      </c>
      <c r="D51" s="668">
        <f>SUM(D52:D54)</f>
        <v>0</v>
      </c>
      <c r="E51" s="668">
        <f>SUM(E52:E54)</f>
        <v>0</v>
      </c>
      <c r="F51" s="668">
        <f>SUM(F52:F54)</f>
        <v>0</v>
      </c>
      <c r="G51" s="668">
        <f>SUM(G52:G54)</f>
        <v>0</v>
      </c>
    </row>
    <row r="52" spans="1:7" s="704" customFormat="1" ht="12" customHeight="1">
      <c r="A52" s="673" t="s">
        <v>101</v>
      </c>
      <c r="B52" s="680" t="s">
        <v>219</v>
      </c>
      <c r="C52" s="686"/>
      <c r="D52" s="686"/>
      <c r="E52" s="686"/>
      <c r="F52" s="686"/>
      <c r="G52" s="686"/>
    </row>
    <row r="53" spans="1:7" ht="12" customHeight="1">
      <c r="A53" s="673" t="s">
        <v>102</v>
      </c>
      <c r="B53" s="674" t="s">
        <v>178</v>
      </c>
      <c r="C53" s="705"/>
      <c r="D53" s="705"/>
      <c r="E53" s="705"/>
      <c r="F53" s="705"/>
      <c r="G53" s="705"/>
    </row>
    <row r="54" spans="1:7" ht="12" customHeight="1">
      <c r="A54" s="673" t="s">
        <v>103</v>
      </c>
      <c r="B54" s="674" t="s">
        <v>55</v>
      </c>
      <c r="C54" s="705"/>
      <c r="D54" s="705"/>
      <c r="E54" s="705"/>
      <c r="F54" s="705"/>
      <c r="G54" s="705"/>
    </row>
    <row r="55" spans="1:7" ht="12" customHeight="1" thickBot="1">
      <c r="A55" s="673" t="s">
        <v>104</v>
      </c>
      <c r="B55" s="674" t="s">
        <v>517</v>
      </c>
      <c r="C55" s="705"/>
      <c r="D55" s="705"/>
      <c r="E55" s="705"/>
      <c r="F55" s="705"/>
      <c r="G55" s="705"/>
    </row>
    <row r="56" spans="1:7" ht="15" customHeight="1" thickBot="1">
      <c r="A56" s="681" t="s">
        <v>18</v>
      </c>
      <c r="B56" s="682" t="s">
        <v>12</v>
      </c>
      <c r="C56" s="683"/>
      <c r="D56" s="683"/>
      <c r="E56" s="683"/>
      <c r="F56" s="683"/>
      <c r="G56" s="683"/>
    </row>
    <row r="57" spans="1:7" ht="13.5" thickBot="1">
      <c r="A57" s="681" t="s">
        <v>19</v>
      </c>
      <c r="B57" s="706" t="s">
        <v>522</v>
      </c>
      <c r="C57" s="707">
        <f>+C45+C51+C56</f>
        <v>0</v>
      </c>
      <c r="D57" s="707">
        <f>+D45+D51+D56</f>
        <v>0</v>
      </c>
      <c r="E57" s="707">
        <f>+E45+E51+E56</f>
        <v>0</v>
      </c>
      <c r="F57" s="707">
        <f>+F45+F51+F56</f>
        <v>0</v>
      </c>
      <c r="G57" s="707">
        <f>+G45+G51+G56</f>
        <v>0</v>
      </c>
    </row>
    <row r="58" spans="1:7" ht="15" customHeight="1" thickBot="1">
      <c r="C58" s="709"/>
      <c r="D58" s="709"/>
      <c r="E58" s="709"/>
      <c r="F58" s="709"/>
      <c r="G58" s="709"/>
    </row>
    <row r="59" spans="1:7" ht="14.25" customHeight="1" thickBot="1">
      <c r="A59" s="710" t="s">
        <v>512</v>
      </c>
      <c r="B59" s="711"/>
      <c r="C59" s="712"/>
      <c r="D59" s="712"/>
      <c r="E59" s="712"/>
      <c r="F59" s="712"/>
      <c r="G59" s="712"/>
    </row>
    <row r="60" spans="1:7" ht="13.5" thickBot="1">
      <c r="A60" s="710" t="s">
        <v>196</v>
      </c>
      <c r="B60" s="711"/>
      <c r="C60" s="712"/>
      <c r="D60" s="712"/>
      <c r="E60" s="712"/>
      <c r="F60" s="712"/>
      <c r="G60" s="7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view="pageLayout" zoomScaleNormal="100" workbookViewId="0">
      <selection activeCell="C5" sqref="C5:F5"/>
    </sheetView>
  </sheetViews>
  <sheetFormatPr defaultRowHeight="12.75"/>
  <cols>
    <col min="1" max="1" width="5.5" style="262" customWidth="1"/>
    <col min="2" max="2" width="33.1640625" style="262" customWidth="1"/>
    <col min="3" max="3" width="12.33203125" style="262" customWidth="1"/>
    <col min="4" max="4" width="11.5" style="262" customWidth="1"/>
    <col min="5" max="5" width="11.33203125" style="262" customWidth="1"/>
    <col min="6" max="6" width="11" style="262" customWidth="1"/>
    <col min="7" max="7" width="14.33203125" style="262" customWidth="1"/>
    <col min="8" max="16384" width="9.33203125" style="262"/>
  </cols>
  <sheetData>
    <row r="1" spans="1:7" ht="43.5" customHeight="1">
      <c r="A1" s="782" t="s">
        <v>3</v>
      </c>
      <c r="B1" s="782"/>
      <c r="C1" s="782"/>
      <c r="D1" s="782"/>
      <c r="E1" s="782"/>
      <c r="F1" s="782"/>
      <c r="G1" s="782"/>
    </row>
    <row r="3" spans="1:7" s="329" customFormat="1" ht="27" customHeight="1">
      <c r="A3" s="327" t="s">
        <v>200</v>
      </c>
      <c r="B3" s="328"/>
      <c r="C3" s="781" t="s">
        <v>538</v>
      </c>
      <c r="D3" s="781"/>
      <c r="E3" s="781"/>
      <c r="F3" s="781"/>
      <c r="G3" s="781"/>
    </row>
    <row r="4" spans="1:7" s="329" customFormat="1" ht="15.75">
      <c r="A4" s="328"/>
      <c r="B4" s="328"/>
      <c r="C4" s="328"/>
      <c r="D4" s="328"/>
      <c r="E4" s="328"/>
      <c r="F4" s="328"/>
      <c r="G4" s="328"/>
    </row>
    <row r="5" spans="1:7" s="329" customFormat="1" ht="24.75" customHeight="1">
      <c r="A5" s="327" t="s">
        <v>201</v>
      </c>
      <c r="B5" s="328"/>
      <c r="C5" s="781" t="s">
        <v>555</v>
      </c>
      <c r="D5" s="781"/>
      <c r="E5" s="781"/>
      <c r="F5" s="781"/>
      <c r="G5" s="328"/>
    </row>
    <row r="6" spans="1:7" s="330" customFormat="1">
      <c r="A6" s="261"/>
      <c r="B6" s="261"/>
      <c r="C6" s="261"/>
      <c r="D6" s="261"/>
      <c r="E6" s="261"/>
      <c r="F6" s="261"/>
      <c r="G6" s="261"/>
    </row>
    <row r="7" spans="1:7" s="334" customFormat="1" ht="15" customHeight="1">
      <c r="A7" s="331" t="s">
        <v>702</v>
      </c>
      <c r="B7" s="332"/>
      <c r="C7" s="332"/>
      <c r="D7" s="333"/>
      <c r="E7" s="333"/>
      <c r="F7" s="333"/>
      <c r="G7" s="333"/>
    </row>
    <row r="8" spans="1:7" s="334" customFormat="1" ht="15" customHeight="1" thickBot="1">
      <c r="A8" s="331" t="s">
        <v>202</v>
      </c>
      <c r="B8" s="333"/>
      <c r="C8" s="333"/>
      <c r="D8" s="333"/>
      <c r="E8" s="333"/>
      <c r="F8" s="333"/>
      <c r="G8" s="333"/>
    </row>
    <row r="9" spans="1:7" s="338" customFormat="1" ht="42" customHeight="1" thickBot="1">
      <c r="A9" s="335" t="s">
        <v>14</v>
      </c>
      <c r="B9" s="336" t="s">
        <v>203</v>
      </c>
      <c r="C9" s="336" t="s">
        <v>204</v>
      </c>
      <c r="D9" s="336" t="s">
        <v>205</v>
      </c>
      <c r="E9" s="336" t="s">
        <v>206</v>
      </c>
      <c r="F9" s="336" t="s">
        <v>207</v>
      </c>
      <c r="G9" s="337" t="s">
        <v>50</v>
      </c>
    </row>
    <row r="10" spans="1:7" ht="24" customHeight="1">
      <c r="A10" s="339" t="s">
        <v>16</v>
      </c>
      <c r="B10" s="340" t="s">
        <v>208</v>
      </c>
      <c r="C10" s="341"/>
      <c r="D10" s="341"/>
      <c r="E10" s="341"/>
      <c r="F10" s="341"/>
      <c r="G10" s="342">
        <f>SUM(C10:F10)</f>
        <v>0</v>
      </c>
    </row>
    <row r="11" spans="1:7" ht="24" customHeight="1">
      <c r="A11" s="343" t="s">
        <v>17</v>
      </c>
      <c r="B11" s="344" t="s">
        <v>209</v>
      </c>
      <c r="C11" s="345"/>
      <c r="D11" s="345"/>
      <c r="E11" s="345"/>
      <c r="F11" s="345"/>
      <c r="G11" s="346">
        <f t="shared" ref="G11:G16" si="0">SUM(C11:F11)</f>
        <v>0</v>
      </c>
    </row>
    <row r="12" spans="1:7" ht="24" customHeight="1">
      <c r="A12" s="343" t="s">
        <v>18</v>
      </c>
      <c r="B12" s="344" t="s">
        <v>210</v>
      </c>
      <c r="C12" s="345"/>
      <c r="D12" s="345"/>
      <c r="E12" s="345"/>
      <c r="F12" s="345"/>
      <c r="G12" s="346">
        <f t="shared" si="0"/>
        <v>0</v>
      </c>
    </row>
    <row r="13" spans="1:7" ht="24" customHeight="1">
      <c r="A13" s="343" t="s">
        <v>19</v>
      </c>
      <c r="B13" s="344" t="s">
        <v>211</v>
      </c>
      <c r="C13" s="345"/>
      <c r="D13" s="345"/>
      <c r="E13" s="345"/>
      <c r="F13" s="345"/>
      <c r="G13" s="346">
        <f t="shared" si="0"/>
        <v>0</v>
      </c>
    </row>
    <row r="14" spans="1:7" ht="24" customHeight="1">
      <c r="A14" s="343" t="s">
        <v>20</v>
      </c>
      <c r="B14" s="344" t="s">
        <v>212</v>
      </c>
      <c r="C14" s="345"/>
      <c r="D14" s="345"/>
      <c r="E14" s="345"/>
      <c r="F14" s="345"/>
      <c r="G14" s="346">
        <f t="shared" si="0"/>
        <v>0</v>
      </c>
    </row>
    <row r="15" spans="1:7" ht="24" customHeight="1" thickBot="1">
      <c r="A15" s="347" t="s">
        <v>21</v>
      </c>
      <c r="B15" s="348" t="s">
        <v>213</v>
      </c>
      <c r="C15" s="349"/>
      <c r="D15" s="349"/>
      <c r="E15" s="349"/>
      <c r="F15" s="349"/>
      <c r="G15" s="350">
        <f t="shared" si="0"/>
        <v>0</v>
      </c>
    </row>
    <row r="16" spans="1:7" s="355" customFormat="1" ht="24" customHeight="1" thickBot="1">
      <c r="A16" s="351" t="s">
        <v>22</v>
      </c>
      <c r="B16" s="352" t="s">
        <v>50</v>
      </c>
      <c r="C16" s="353">
        <f>SUM(C10:C15)</f>
        <v>0</v>
      </c>
      <c r="D16" s="353">
        <f>SUM(D10:D15)</f>
        <v>0</v>
      </c>
      <c r="E16" s="353">
        <f>SUM(E10:E15)</f>
        <v>0</v>
      </c>
      <c r="F16" s="353">
        <f>SUM(F10:F15)</f>
        <v>0</v>
      </c>
      <c r="G16" s="354">
        <f t="shared" si="0"/>
        <v>0</v>
      </c>
    </row>
    <row r="17" spans="1:7" s="330" customFormat="1">
      <c r="A17" s="261"/>
      <c r="B17" s="261"/>
      <c r="C17" s="261"/>
      <c r="D17" s="261"/>
      <c r="E17" s="261"/>
      <c r="F17" s="261"/>
      <c r="G17" s="261"/>
    </row>
    <row r="18" spans="1:7" s="330" customFormat="1">
      <c r="A18" s="261"/>
      <c r="B18" s="261"/>
      <c r="C18" s="261"/>
      <c r="D18" s="261"/>
      <c r="E18" s="261"/>
      <c r="F18" s="261"/>
      <c r="G18" s="261"/>
    </row>
    <row r="19" spans="1:7" s="330" customFormat="1">
      <c r="A19" s="261"/>
      <c r="B19" s="261"/>
      <c r="C19" s="261"/>
      <c r="D19" s="261"/>
      <c r="E19" s="261"/>
      <c r="F19" s="261"/>
      <c r="G19" s="261"/>
    </row>
    <row r="20" spans="1:7" s="330" customFormat="1" ht="15.75">
      <c r="A20" s="329" t="s">
        <v>703</v>
      </c>
      <c r="B20" s="261"/>
      <c r="C20" s="261"/>
      <c r="D20" s="261"/>
      <c r="E20" s="261"/>
      <c r="F20" s="261"/>
      <c r="G20" s="261"/>
    </row>
    <row r="21" spans="1:7" s="330" customFormat="1">
      <c r="A21" s="261"/>
      <c r="B21" s="261"/>
      <c r="C21" s="261"/>
      <c r="D21" s="261"/>
      <c r="E21" s="261"/>
      <c r="F21" s="261"/>
      <c r="G21" s="261"/>
    </row>
    <row r="22" spans="1:7">
      <c r="A22" s="261"/>
      <c r="B22" s="261"/>
      <c r="C22" s="261"/>
      <c r="D22" s="261"/>
      <c r="E22" s="261"/>
      <c r="F22" s="261"/>
      <c r="G22" s="261"/>
    </row>
    <row r="23" spans="1:7">
      <c r="A23" s="261"/>
      <c r="B23" s="261"/>
      <c r="C23" s="330"/>
      <c r="D23" s="330"/>
      <c r="E23" s="330"/>
      <c r="F23" s="330"/>
      <c r="G23" s="261"/>
    </row>
    <row r="24" spans="1:7" ht="13.5">
      <c r="A24" s="261"/>
      <c r="B24" s="261"/>
      <c r="C24" s="356"/>
      <c r="D24" s="357" t="s">
        <v>214</v>
      </c>
      <c r="E24" s="357"/>
      <c r="F24" s="356"/>
      <c r="G24" s="261"/>
    </row>
    <row r="25" spans="1:7" ht="13.5">
      <c r="C25" s="358"/>
      <c r="D25" s="359"/>
      <c r="E25" s="359"/>
      <c r="F25" s="358"/>
    </row>
    <row r="26" spans="1:7" ht="13.5">
      <c r="C26" s="358"/>
      <c r="D26" s="359"/>
      <c r="E26" s="359"/>
      <c r="F26" s="358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6" orientation="portrait" horizontalDpi="300" verticalDpi="300" r:id="rId1"/>
  <headerFooter alignWithMargins="0">
    <oddHeader>&amp;C&amp;"Times New Roman CE,Félkövér"&amp;12
&amp;R&amp;"Times New Roman CE,Félkövér dőlt"&amp;11 13. melléklet a 2/2019. (II.28.) önkormányzati rendelethez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K169"/>
  <sheetViews>
    <sheetView tabSelected="1" view="pageLayout" topLeftCell="A35" zoomScaleNormal="100" zoomScaleSheetLayoutView="100" workbookViewId="0">
      <selection activeCell="K51" sqref="K51"/>
    </sheetView>
  </sheetViews>
  <sheetFormatPr defaultRowHeight="12.75"/>
  <cols>
    <col min="1" max="1" width="8" style="715" bestFit="1" customWidth="1"/>
    <col min="2" max="2" width="71.6640625" style="715" bestFit="1" customWidth="1"/>
    <col min="3" max="3" width="14.33203125" style="716" customWidth="1"/>
    <col min="4" max="4" width="14.33203125" style="715" customWidth="1"/>
    <col min="5" max="11" width="18.83203125" style="715" customWidth="1"/>
    <col min="12" max="16384" width="9.33203125" style="715"/>
  </cols>
  <sheetData>
    <row r="1" spans="1:11" ht="15.95" customHeight="1">
      <c r="A1" s="783" t="s">
        <v>13</v>
      </c>
      <c r="B1" s="783"/>
      <c r="C1" s="783"/>
      <c r="D1" s="783"/>
    </row>
    <row r="2" spans="1:11" ht="15.95" customHeight="1" thickBot="1">
      <c r="A2" s="785" t="s">
        <v>144</v>
      </c>
      <c r="B2" s="785"/>
      <c r="D2" s="474"/>
      <c r="E2" s="37" t="s">
        <v>588</v>
      </c>
      <c r="F2" s="37" t="s">
        <v>588</v>
      </c>
      <c r="G2" s="37" t="s">
        <v>588</v>
      </c>
      <c r="H2" s="37" t="s">
        <v>588</v>
      </c>
      <c r="I2" s="37" t="s">
        <v>588</v>
      </c>
      <c r="J2" s="37" t="s">
        <v>588</v>
      </c>
      <c r="K2" s="37" t="s">
        <v>588</v>
      </c>
    </row>
    <row r="3" spans="1:11" ht="38.1" customHeight="1" thickBot="1">
      <c r="A3" s="284" t="s">
        <v>66</v>
      </c>
      <c r="B3" s="285" t="s">
        <v>15</v>
      </c>
      <c r="C3" s="285" t="s">
        <v>705</v>
      </c>
      <c r="D3" s="488" t="s">
        <v>704</v>
      </c>
      <c r="E3" s="489" t="s">
        <v>687</v>
      </c>
      <c r="F3" s="270" t="s">
        <v>738</v>
      </c>
      <c r="G3" s="270" t="s">
        <v>743</v>
      </c>
      <c r="H3" s="270" t="s">
        <v>758</v>
      </c>
      <c r="I3" s="270" t="s">
        <v>760</v>
      </c>
      <c r="J3" s="270" t="s">
        <v>773</v>
      </c>
      <c r="K3" s="270" t="s">
        <v>780</v>
      </c>
    </row>
    <row r="4" spans="1:11" s="286" customFormat="1" ht="12" customHeight="1" thickBot="1">
      <c r="A4" s="284" t="s">
        <v>485</v>
      </c>
      <c r="B4" s="285" t="s">
        <v>486</v>
      </c>
      <c r="C4" s="285" t="s">
        <v>487</v>
      </c>
      <c r="D4" s="285" t="s">
        <v>489</v>
      </c>
      <c r="E4" s="489" t="s">
        <v>488</v>
      </c>
      <c r="F4" s="489" t="s">
        <v>488</v>
      </c>
      <c r="G4" s="489" t="s">
        <v>488</v>
      </c>
      <c r="H4" s="489" t="s">
        <v>488</v>
      </c>
      <c r="I4" s="489" t="s">
        <v>488</v>
      </c>
      <c r="J4" s="489" t="s">
        <v>488</v>
      </c>
      <c r="K4" s="489" t="s">
        <v>488</v>
      </c>
    </row>
    <row r="5" spans="1:11" s="286" customFormat="1" ht="12" customHeight="1" thickBot="1">
      <c r="A5" s="287" t="s">
        <v>16</v>
      </c>
      <c r="B5" s="288" t="s">
        <v>243</v>
      </c>
      <c r="C5" s="490">
        <f t="shared" ref="C5:I5" si="0">+C6+C7+C8+C9+C10+C11</f>
        <v>242303330</v>
      </c>
      <c r="D5" s="491">
        <f t="shared" si="0"/>
        <v>243748289</v>
      </c>
      <c r="E5" s="491">
        <f t="shared" si="0"/>
        <v>218395679</v>
      </c>
      <c r="F5" s="491">
        <f t="shared" si="0"/>
        <v>218917790</v>
      </c>
      <c r="G5" s="491">
        <f t="shared" si="0"/>
        <v>217376765</v>
      </c>
      <c r="H5" s="491">
        <f t="shared" si="0"/>
        <v>239578465</v>
      </c>
      <c r="I5" s="491">
        <f t="shared" si="0"/>
        <v>240984602</v>
      </c>
      <c r="J5" s="491">
        <f>+J6+J7+J8+J9+J10+J11</f>
        <v>249147282</v>
      </c>
      <c r="K5" s="491">
        <f>+K6+K7+K8+K9+K10+K11</f>
        <v>249841722</v>
      </c>
    </row>
    <row r="6" spans="1:11" s="286" customFormat="1" ht="12" customHeight="1">
      <c r="A6" s="289" t="s">
        <v>95</v>
      </c>
      <c r="B6" s="124" t="s">
        <v>244</v>
      </c>
      <c r="C6" s="492">
        <v>130036203</v>
      </c>
      <c r="D6" s="492">
        <v>117822015</v>
      </c>
      <c r="E6" s="493">
        <v>117822978</v>
      </c>
      <c r="F6" s="493">
        <v>117822978</v>
      </c>
      <c r="G6" s="493">
        <v>117822978</v>
      </c>
      <c r="H6" s="493">
        <v>117822978</v>
      </c>
      <c r="I6" s="493">
        <v>117822978</v>
      </c>
      <c r="J6" s="493">
        <v>117822978</v>
      </c>
      <c r="K6" s="493">
        <f>117822978+173484</f>
        <v>117996462</v>
      </c>
    </row>
    <row r="7" spans="1:11" s="286" customFormat="1" ht="12" customHeight="1">
      <c r="A7" s="290" t="s">
        <v>96</v>
      </c>
      <c r="B7" s="125" t="s">
        <v>245</v>
      </c>
      <c r="C7" s="494">
        <v>51550240</v>
      </c>
      <c r="D7" s="494">
        <v>56597616</v>
      </c>
      <c r="E7" s="495">
        <v>56900500</v>
      </c>
      <c r="F7" s="495">
        <v>56900500</v>
      </c>
      <c r="G7" s="495">
        <f>56900500-2814800</f>
        <v>54085700</v>
      </c>
      <c r="H7" s="495">
        <f>56900500-2814800</f>
        <v>54085700</v>
      </c>
      <c r="I7" s="495">
        <f>56900500-2814800</f>
        <v>54085700</v>
      </c>
      <c r="J7" s="495">
        <f>56900500-2814800+3207200</f>
        <v>57292900</v>
      </c>
      <c r="K7" s="495">
        <f>56900500-2814800+3207200</f>
        <v>57292900</v>
      </c>
    </row>
    <row r="8" spans="1:11" s="286" customFormat="1" ht="12" customHeight="1">
      <c r="A8" s="290" t="s">
        <v>97</v>
      </c>
      <c r="B8" s="125" t="s">
        <v>246</v>
      </c>
      <c r="C8" s="494">
        <v>37799442</v>
      </c>
      <c r="D8" s="494">
        <v>39695169</v>
      </c>
      <c r="E8" s="495">
        <v>40194081</v>
      </c>
      <c r="F8" s="495">
        <v>40194081</v>
      </c>
      <c r="G8" s="495">
        <f>40194081-152000</f>
        <v>40042081</v>
      </c>
      <c r="H8" s="495">
        <f>40194081-152000</f>
        <v>40042081</v>
      </c>
      <c r="I8" s="495">
        <f>40194081-152000</f>
        <v>40042081</v>
      </c>
      <c r="J8" s="495">
        <f>40194081-152000+191640</f>
        <v>40233721</v>
      </c>
      <c r="K8" s="495">
        <f>40194081-152000+191640+518310</f>
        <v>40752031</v>
      </c>
    </row>
    <row r="9" spans="1:11" s="286" customFormat="1" ht="12" customHeight="1">
      <c r="A9" s="290" t="s">
        <v>98</v>
      </c>
      <c r="B9" s="125" t="s">
        <v>247</v>
      </c>
      <c r="C9" s="494">
        <v>3495417</v>
      </c>
      <c r="D9" s="494">
        <v>4541173</v>
      </c>
      <c r="E9" s="495">
        <v>3063720</v>
      </c>
      <c r="F9" s="495">
        <f>3063720+280587</f>
        <v>3344307</v>
      </c>
      <c r="G9" s="495">
        <f>3063720+280587+411269+187376</f>
        <v>3942952</v>
      </c>
      <c r="H9" s="495">
        <f>3063720+280587+411269+187376+19701700+2500000</f>
        <v>26144652</v>
      </c>
      <c r="I9" s="717">
        <f>3063720+280587+411269+187376+281066</f>
        <v>4224018</v>
      </c>
      <c r="J9" s="495">
        <f>3063720+280587+411269+187376+281066+226143+92490</f>
        <v>4542651</v>
      </c>
      <c r="K9" s="495">
        <f>3063720+280587+411269+187376+281066+226143+92490+92494</f>
        <v>4635145</v>
      </c>
    </row>
    <row r="10" spans="1:11" s="286" customFormat="1" ht="12" customHeight="1">
      <c r="A10" s="290" t="s">
        <v>141</v>
      </c>
      <c r="B10" s="291" t="s">
        <v>428</v>
      </c>
      <c r="C10" s="494">
        <v>19422028</v>
      </c>
      <c r="D10" s="494">
        <v>24745002</v>
      </c>
      <c r="E10" s="495">
        <v>414400</v>
      </c>
      <c r="F10" s="495">
        <f>414400+241524</f>
        <v>655924</v>
      </c>
      <c r="G10" s="495">
        <f>414400+241524+533400+293730</f>
        <v>1483054</v>
      </c>
      <c r="H10" s="495">
        <f>414400+241524+533400+293730</f>
        <v>1483054</v>
      </c>
      <c r="I10" s="495">
        <f>414400+241524+533400+293730+19701700+2500000+585071+540000</f>
        <v>24809825</v>
      </c>
      <c r="J10" s="495">
        <f>414400+241524+533400+293730+19701700+2500000+585071+540000+291818+2951480+145909+1056000</f>
        <v>29255032</v>
      </c>
      <c r="K10" s="495">
        <f>414400+241524+533400+293730+19701700+2500000+585071+540000+291818+2951480+145909+51252-141100+1056000</f>
        <v>29165184</v>
      </c>
    </row>
    <row r="11" spans="1:11" s="286" customFormat="1" ht="12" customHeight="1" thickBot="1">
      <c r="A11" s="292" t="s">
        <v>99</v>
      </c>
      <c r="B11" s="293" t="s">
        <v>429</v>
      </c>
      <c r="C11" s="494"/>
      <c r="D11" s="494">
        <v>347314</v>
      </c>
      <c r="E11" s="495"/>
      <c r="F11" s="495"/>
      <c r="G11" s="495"/>
      <c r="H11" s="495"/>
      <c r="I11" s="495"/>
      <c r="J11" s="495"/>
      <c r="K11" s="495"/>
    </row>
    <row r="12" spans="1:11" s="286" customFormat="1" ht="12" customHeight="1" thickBot="1">
      <c r="A12" s="287" t="s">
        <v>17</v>
      </c>
      <c r="B12" s="294" t="s">
        <v>248</v>
      </c>
      <c r="C12" s="490">
        <f t="shared" ref="C12:I12" si="1">+C13+C14+C15+C16+C17</f>
        <v>41310066</v>
      </c>
      <c r="D12" s="490">
        <f t="shared" si="1"/>
        <v>87621574</v>
      </c>
      <c r="E12" s="491">
        <f t="shared" si="1"/>
        <v>73241871</v>
      </c>
      <c r="F12" s="491">
        <f t="shared" si="1"/>
        <v>76180274</v>
      </c>
      <c r="G12" s="491">
        <f t="shared" si="1"/>
        <v>74594319</v>
      </c>
      <c r="H12" s="491">
        <f t="shared" si="1"/>
        <v>54892619</v>
      </c>
      <c r="I12" s="491">
        <f t="shared" si="1"/>
        <v>57452379</v>
      </c>
      <c r="J12" s="491">
        <f>+J13+J14+J15+J16+J17</f>
        <v>58501515</v>
      </c>
      <c r="K12" s="491">
        <f>+K13+K14+K15+K16+K17</f>
        <v>58501515</v>
      </c>
    </row>
    <row r="13" spans="1:11" s="286" customFormat="1" ht="12" customHeight="1">
      <c r="A13" s="289" t="s">
        <v>101</v>
      </c>
      <c r="B13" s="124" t="s">
        <v>249</v>
      </c>
      <c r="C13" s="492"/>
      <c r="D13" s="492"/>
      <c r="E13" s="493"/>
      <c r="F13" s="493"/>
      <c r="G13" s="493"/>
      <c r="H13" s="493"/>
      <c r="I13" s="493"/>
      <c r="J13" s="493"/>
      <c r="K13" s="493"/>
    </row>
    <row r="14" spans="1:11" s="286" customFormat="1" ht="12" customHeight="1">
      <c r="A14" s="290" t="s">
        <v>102</v>
      </c>
      <c r="B14" s="125" t="s">
        <v>250</v>
      </c>
      <c r="C14" s="494"/>
      <c r="D14" s="494"/>
      <c r="E14" s="495"/>
      <c r="F14" s="495"/>
      <c r="G14" s="495"/>
      <c r="H14" s="495"/>
      <c r="I14" s="495"/>
      <c r="J14" s="495"/>
      <c r="K14" s="495"/>
    </row>
    <row r="15" spans="1:11" s="286" customFormat="1" ht="12" customHeight="1">
      <c r="A15" s="290" t="s">
        <v>103</v>
      </c>
      <c r="B15" s="125" t="s">
        <v>418</v>
      </c>
      <c r="C15" s="494"/>
      <c r="D15" s="494"/>
      <c r="E15" s="495"/>
      <c r="F15" s="495"/>
      <c r="G15" s="495"/>
      <c r="H15" s="495"/>
      <c r="I15" s="495"/>
      <c r="J15" s="495"/>
      <c r="K15" s="495"/>
    </row>
    <row r="16" spans="1:11" s="286" customFormat="1" ht="12" customHeight="1">
      <c r="A16" s="290" t="s">
        <v>104</v>
      </c>
      <c r="B16" s="125" t="s">
        <v>419</v>
      </c>
      <c r="C16" s="494"/>
      <c r="D16" s="494"/>
      <c r="E16" s="495"/>
      <c r="F16" s="495"/>
      <c r="G16" s="495"/>
      <c r="H16" s="495"/>
      <c r="I16" s="495"/>
      <c r="J16" s="495"/>
      <c r="K16" s="495"/>
    </row>
    <row r="17" spans="1:11" s="286" customFormat="1" ht="12" customHeight="1">
      <c r="A17" s="290" t="s">
        <v>105</v>
      </c>
      <c r="B17" s="125" t="s">
        <v>251</v>
      </c>
      <c r="C17" s="494">
        <v>41310066</v>
      </c>
      <c r="D17" s="494">
        <v>87621574</v>
      </c>
      <c r="E17" s="495">
        <v>73241871</v>
      </c>
      <c r="F17" s="495">
        <f>73241871+105000+715832+78540+119640+1919391</f>
        <v>76180274</v>
      </c>
      <c r="G17" s="495">
        <f>73241871+105000+715832+78540+119640+1919391-1919391+2706807-2706807+220934+112502</f>
        <v>74594319</v>
      </c>
      <c r="H17" s="495">
        <f>73241871+105000+715832+78540+119640+1919391-1919391+2706807-2706807+220934+112502-19701700</f>
        <v>54892619</v>
      </c>
      <c r="I17" s="495">
        <f>54892619+37000+75000+962832+585681+536874-22400+366520+18253</f>
        <v>57452379</v>
      </c>
      <c r="J17" s="495">
        <f>57452379+306000+37000+706136</f>
        <v>58501515</v>
      </c>
      <c r="K17" s="495">
        <f>57452379+306000+37000+706136</f>
        <v>58501515</v>
      </c>
    </row>
    <row r="18" spans="1:11" s="286" customFormat="1" ht="12" customHeight="1" thickBot="1">
      <c r="A18" s="292" t="s">
        <v>114</v>
      </c>
      <c r="B18" s="293" t="s">
        <v>252</v>
      </c>
      <c r="C18" s="496"/>
      <c r="D18" s="496"/>
      <c r="E18" s="497"/>
      <c r="F18" s="497"/>
      <c r="G18" s="497"/>
      <c r="H18" s="497"/>
      <c r="I18" s="497"/>
      <c r="J18" s="497"/>
      <c r="K18" s="497"/>
    </row>
    <row r="19" spans="1:11" s="286" customFormat="1" ht="12" customHeight="1" thickBot="1">
      <c r="A19" s="287" t="s">
        <v>18</v>
      </c>
      <c r="B19" s="288" t="s">
        <v>253</v>
      </c>
      <c r="C19" s="491">
        <f t="shared" ref="C19:I19" si="2">+C20+C21+C22+C23+C24</f>
        <v>46868384</v>
      </c>
      <c r="D19" s="491">
        <f t="shared" si="2"/>
        <v>363718343</v>
      </c>
      <c r="E19" s="491">
        <f t="shared" si="2"/>
        <v>55972518</v>
      </c>
      <c r="F19" s="491">
        <f t="shared" si="2"/>
        <v>55972518</v>
      </c>
      <c r="G19" s="491">
        <f t="shared" si="2"/>
        <v>66275833</v>
      </c>
      <c r="H19" s="491">
        <f t="shared" si="2"/>
        <v>66275833</v>
      </c>
      <c r="I19" s="491">
        <f t="shared" si="2"/>
        <v>66275833</v>
      </c>
      <c r="J19" s="491">
        <f>+J20+J21+J22+J23+J24</f>
        <v>66782561</v>
      </c>
      <c r="K19" s="491">
        <f>+K20+K21+K22+K23+K24</f>
        <v>66782561</v>
      </c>
    </row>
    <row r="20" spans="1:11" s="286" customFormat="1" ht="12" customHeight="1">
      <c r="A20" s="289" t="s">
        <v>84</v>
      </c>
      <c r="B20" s="124" t="s">
        <v>254</v>
      </c>
      <c r="C20" s="492">
        <v>43811784</v>
      </c>
      <c r="E20" s="493"/>
      <c r="F20" s="493"/>
      <c r="G20" s="493"/>
      <c r="H20" s="493"/>
      <c r="I20" s="493"/>
      <c r="J20" s="493">
        <f>506728</f>
        <v>506728</v>
      </c>
      <c r="K20" s="493">
        <f>506728</f>
        <v>506728</v>
      </c>
    </row>
    <row r="21" spans="1:11" s="286" customFormat="1" ht="12" customHeight="1">
      <c r="A21" s="290" t="s">
        <v>85</v>
      </c>
      <c r="B21" s="125" t="s">
        <v>255</v>
      </c>
      <c r="C21" s="494"/>
      <c r="D21" s="494"/>
      <c r="E21" s="495"/>
      <c r="F21" s="495"/>
      <c r="G21" s="495"/>
      <c r="H21" s="495"/>
      <c r="I21" s="495"/>
      <c r="J21" s="495"/>
      <c r="K21" s="495"/>
    </row>
    <row r="22" spans="1:11" s="286" customFormat="1" ht="12" customHeight="1">
      <c r="A22" s="290" t="s">
        <v>86</v>
      </c>
      <c r="B22" s="125" t="s">
        <v>420</v>
      </c>
      <c r="C22" s="494"/>
      <c r="D22" s="494"/>
      <c r="E22" s="495"/>
      <c r="F22" s="495"/>
      <c r="G22" s="495"/>
      <c r="H22" s="495"/>
      <c r="I22" s="495"/>
      <c r="J22" s="495"/>
      <c r="K22" s="495"/>
    </row>
    <row r="23" spans="1:11" s="286" customFormat="1" ht="12" customHeight="1">
      <c r="A23" s="290" t="s">
        <v>87</v>
      </c>
      <c r="B23" s="125" t="s">
        <v>421</v>
      </c>
      <c r="C23" s="494"/>
      <c r="D23" s="494"/>
      <c r="E23" s="495"/>
      <c r="F23" s="495"/>
      <c r="G23" s="495"/>
      <c r="H23" s="495"/>
      <c r="I23" s="495"/>
      <c r="J23" s="495"/>
      <c r="K23" s="495"/>
    </row>
    <row r="24" spans="1:11" s="286" customFormat="1" ht="12" customHeight="1">
      <c r="A24" s="290" t="s">
        <v>162</v>
      </c>
      <c r="B24" s="125" t="s">
        <v>256</v>
      </c>
      <c r="C24" s="494">
        <v>3056600</v>
      </c>
      <c r="D24" s="494">
        <v>363718343</v>
      </c>
      <c r="E24" s="495">
        <v>55972518</v>
      </c>
      <c r="F24" s="495">
        <v>55972518</v>
      </c>
      <c r="G24" s="495">
        <f>55972518+7817442+2485873</f>
        <v>66275833</v>
      </c>
      <c r="H24" s="495">
        <f>55972518+7817442+2485873</f>
        <v>66275833</v>
      </c>
      <c r="I24" s="495">
        <f>55972518+7817442+2485873</f>
        <v>66275833</v>
      </c>
      <c r="J24" s="495">
        <f>55972518+7817442+2485873</f>
        <v>66275833</v>
      </c>
      <c r="K24" s="495">
        <f>55972518+7817442+2485873</f>
        <v>66275833</v>
      </c>
    </row>
    <row r="25" spans="1:11" s="286" customFormat="1" ht="12" customHeight="1" thickBot="1">
      <c r="A25" s="292" t="s">
        <v>163</v>
      </c>
      <c r="B25" s="127" t="s">
        <v>257</v>
      </c>
      <c r="C25" s="496"/>
      <c r="D25" s="496"/>
      <c r="E25" s="497"/>
      <c r="F25" s="497"/>
      <c r="G25" s="497"/>
      <c r="H25" s="497"/>
      <c r="I25" s="497"/>
      <c r="J25" s="497"/>
      <c r="K25" s="497"/>
    </row>
    <row r="26" spans="1:11" s="286" customFormat="1" ht="12" customHeight="1" thickBot="1">
      <c r="A26" s="287" t="s">
        <v>164</v>
      </c>
      <c r="B26" s="288" t="s">
        <v>258</v>
      </c>
      <c r="C26" s="490">
        <f t="shared" ref="C26:I26" si="3">+C27+C31+C32+C33</f>
        <v>127009831</v>
      </c>
      <c r="D26" s="490">
        <f t="shared" si="3"/>
        <v>140209759</v>
      </c>
      <c r="E26" s="491">
        <f t="shared" si="3"/>
        <v>129930000</v>
      </c>
      <c r="F26" s="491">
        <f t="shared" si="3"/>
        <v>129930000</v>
      </c>
      <c r="G26" s="491">
        <f t="shared" si="3"/>
        <v>129930000</v>
      </c>
      <c r="H26" s="491">
        <f t="shared" si="3"/>
        <v>129930000</v>
      </c>
      <c r="I26" s="491">
        <f t="shared" si="3"/>
        <v>129930000</v>
      </c>
      <c r="J26" s="491">
        <f>+J27+J31+J32+J33</f>
        <v>147930000</v>
      </c>
      <c r="K26" s="491">
        <f>+K27+K31+K32+K33</f>
        <v>157858000</v>
      </c>
    </row>
    <row r="27" spans="1:11" s="286" customFormat="1" ht="12" customHeight="1">
      <c r="A27" s="289" t="s">
        <v>259</v>
      </c>
      <c r="B27" s="124" t="s">
        <v>435</v>
      </c>
      <c r="C27" s="498">
        <f>+C28+C29+C30</f>
        <v>89357640</v>
      </c>
      <c r="D27" s="498">
        <f t="shared" ref="D27:I27" si="4">D28+D29+D30</f>
        <v>101842381</v>
      </c>
      <c r="E27" s="499">
        <f t="shared" si="4"/>
        <v>94400000</v>
      </c>
      <c r="F27" s="499">
        <f t="shared" si="4"/>
        <v>94400000</v>
      </c>
      <c r="G27" s="499">
        <f t="shared" si="4"/>
        <v>94400000</v>
      </c>
      <c r="H27" s="499">
        <f t="shared" si="4"/>
        <v>94400000</v>
      </c>
      <c r="I27" s="499">
        <f t="shared" si="4"/>
        <v>94400000</v>
      </c>
      <c r="J27" s="499">
        <f>J28+J29+J30</f>
        <v>106400000</v>
      </c>
      <c r="K27" s="499">
        <f>K28+K29+K30</f>
        <v>114650000</v>
      </c>
    </row>
    <row r="28" spans="1:11" s="286" customFormat="1" ht="12" customHeight="1">
      <c r="A28" s="290" t="s">
        <v>260</v>
      </c>
      <c r="B28" s="125" t="s">
        <v>603</v>
      </c>
      <c r="C28" s="494">
        <v>53778881</v>
      </c>
      <c r="D28" s="494">
        <v>57672091</v>
      </c>
      <c r="E28" s="495">
        <v>56400000</v>
      </c>
      <c r="F28" s="495">
        <v>56400000</v>
      </c>
      <c r="G28" s="495">
        <v>56400000</v>
      </c>
      <c r="H28" s="495">
        <v>56400000</v>
      </c>
      <c r="I28" s="495">
        <v>56400000</v>
      </c>
      <c r="J28" s="495">
        <f>56400000+5000000</f>
        <v>61400000</v>
      </c>
      <c r="K28" s="495">
        <f>56400000+5000000+500000</f>
        <v>61900000</v>
      </c>
    </row>
    <row r="29" spans="1:11" s="286" customFormat="1" ht="12" customHeight="1">
      <c r="A29" s="290" t="s">
        <v>261</v>
      </c>
      <c r="B29" s="125" t="s">
        <v>604</v>
      </c>
      <c r="C29" s="494"/>
      <c r="D29" s="494"/>
      <c r="E29" s="495"/>
      <c r="F29" s="495"/>
      <c r="G29" s="495"/>
      <c r="H29" s="495"/>
      <c r="I29" s="495"/>
      <c r="J29" s="495"/>
      <c r="K29" s="495"/>
    </row>
    <row r="30" spans="1:11" s="286" customFormat="1" ht="12" customHeight="1">
      <c r="A30" s="290" t="s">
        <v>433</v>
      </c>
      <c r="B30" s="126" t="s">
        <v>434</v>
      </c>
      <c r="C30" s="494">
        <v>35578759</v>
      </c>
      <c r="D30" s="494">
        <v>44170290</v>
      </c>
      <c r="E30" s="495">
        <v>38000000</v>
      </c>
      <c r="F30" s="495">
        <v>38000000</v>
      </c>
      <c r="G30" s="495">
        <v>38000000</v>
      </c>
      <c r="H30" s="495">
        <v>38000000</v>
      </c>
      <c r="I30" s="495">
        <v>38000000</v>
      </c>
      <c r="J30" s="495">
        <f>38000000+7000000</f>
        <v>45000000</v>
      </c>
      <c r="K30" s="495">
        <f>38000000+7000000+5000000+250000+2500000</f>
        <v>52750000</v>
      </c>
    </row>
    <row r="31" spans="1:11" s="286" customFormat="1" ht="12" customHeight="1">
      <c r="A31" s="290" t="s">
        <v>262</v>
      </c>
      <c r="B31" s="125" t="s">
        <v>267</v>
      </c>
      <c r="C31" s="494">
        <v>8154406</v>
      </c>
      <c r="D31" s="494">
        <v>8994728</v>
      </c>
      <c r="E31" s="495">
        <v>7400000</v>
      </c>
      <c r="F31" s="495">
        <v>7400000</v>
      </c>
      <c r="G31" s="495">
        <v>7400000</v>
      </c>
      <c r="H31" s="495">
        <v>7400000</v>
      </c>
      <c r="I31" s="495">
        <v>7400000</v>
      </c>
      <c r="J31" s="495">
        <f>7400000+3000000</f>
        <v>10400000</v>
      </c>
      <c r="K31" s="495">
        <f>7400000+3000000+500000</f>
        <v>10900000</v>
      </c>
    </row>
    <row r="32" spans="1:11" s="286" customFormat="1" ht="12" customHeight="1">
      <c r="A32" s="290" t="s">
        <v>263</v>
      </c>
      <c r="B32" s="125" t="s">
        <v>581</v>
      </c>
      <c r="C32" s="494">
        <v>28764364</v>
      </c>
      <c r="D32" s="494">
        <v>28970800</v>
      </c>
      <c r="E32" s="495">
        <v>27500000</v>
      </c>
      <c r="F32" s="495">
        <v>27500000</v>
      </c>
      <c r="G32" s="495">
        <v>27500000</v>
      </c>
      <c r="H32" s="495">
        <v>27500000</v>
      </c>
      <c r="I32" s="495">
        <v>27500000</v>
      </c>
      <c r="J32" s="495">
        <f>27500000+2500000</f>
        <v>30000000</v>
      </c>
      <c r="K32" s="495">
        <f>27500000+2500000+410000+420000</f>
        <v>30830000</v>
      </c>
    </row>
    <row r="33" spans="1:11" s="286" customFormat="1" ht="12" customHeight="1" thickBot="1">
      <c r="A33" s="292" t="s">
        <v>264</v>
      </c>
      <c r="B33" s="127" t="s">
        <v>269</v>
      </c>
      <c r="C33" s="496">
        <v>733421</v>
      </c>
      <c r="D33" s="496">
        <v>401850</v>
      </c>
      <c r="E33" s="497">
        <v>630000</v>
      </c>
      <c r="F33" s="497">
        <v>630000</v>
      </c>
      <c r="G33" s="497">
        <v>630000</v>
      </c>
      <c r="H33" s="497">
        <v>630000</v>
      </c>
      <c r="I33" s="497">
        <v>630000</v>
      </c>
      <c r="J33" s="497">
        <f>630000+500000</f>
        <v>1130000</v>
      </c>
      <c r="K33" s="497">
        <f>630000+500000+88000+50000+210000</f>
        <v>1478000</v>
      </c>
    </row>
    <row r="34" spans="1:11" s="286" customFormat="1" ht="12" customHeight="1" thickBot="1">
      <c r="A34" s="287" t="s">
        <v>20</v>
      </c>
      <c r="B34" s="288" t="s">
        <v>430</v>
      </c>
      <c r="C34" s="490">
        <f t="shared" ref="C34:I34" si="5">SUM(C35:C45)</f>
        <v>137436737</v>
      </c>
      <c r="D34" s="490">
        <f t="shared" si="5"/>
        <v>162119763</v>
      </c>
      <c r="E34" s="491">
        <f t="shared" si="5"/>
        <v>139882547</v>
      </c>
      <c r="F34" s="491">
        <f t="shared" si="5"/>
        <v>139882547</v>
      </c>
      <c r="G34" s="491">
        <f t="shared" si="5"/>
        <v>139734281</v>
      </c>
      <c r="H34" s="491">
        <f t="shared" si="5"/>
        <v>139734281</v>
      </c>
      <c r="I34" s="491">
        <f t="shared" si="5"/>
        <v>173504281</v>
      </c>
      <c r="J34" s="491">
        <f>SUM(J35:J45)</f>
        <v>174874281</v>
      </c>
      <c r="K34" s="491">
        <f>SUM(K35:K45)</f>
        <v>178080281</v>
      </c>
    </row>
    <row r="35" spans="1:11" s="286" customFormat="1" ht="12" customHeight="1">
      <c r="A35" s="289" t="s">
        <v>88</v>
      </c>
      <c r="B35" s="124" t="s">
        <v>272</v>
      </c>
      <c r="C35" s="492">
        <v>72900</v>
      </c>
      <c r="D35" s="492">
        <v>64000</v>
      </c>
      <c r="E35" s="493"/>
      <c r="F35" s="493"/>
      <c r="G35" s="493"/>
      <c r="H35" s="493"/>
      <c r="I35" s="493"/>
      <c r="J35" s="493"/>
      <c r="K35" s="493"/>
    </row>
    <row r="36" spans="1:11" s="286" customFormat="1" ht="12" customHeight="1">
      <c r="A36" s="290" t="s">
        <v>89</v>
      </c>
      <c r="B36" s="125" t="s">
        <v>273</v>
      </c>
      <c r="C36" s="494">
        <v>96044866</v>
      </c>
      <c r="D36" s="494">
        <v>118757569</v>
      </c>
      <c r="E36" s="495">
        <v>94800709</v>
      </c>
      <c r="F36" s="495">
        <v>94800709</v>
      </c>
      <c r="G36" s="495">
        <f>94800709+132213-196063-118110</f>
        <v>94618749</v>
      </c>
      <c r="H36" s="495">
        <f>94800709+132213-196063-118110</f>
        <v>94618749</v>
      </c>
      <c r="I36" s="495">
        <f>94800709+132213-196063-118110+26500000</f>
        <v>121118749</v>
      </c>
      <c r="J36" s="495">
        <f>94800709+132213-196063-118110+26500000+1000000</f>
        <v>122118749</v>
      </c>
      <c r="K36" s="495">
        <f>94800709+132213-196063-118110+26500000+1000000+780000+1200000</f>
        <v>124098749</v>
      </c>
    </row>
    <row r="37" spans="1:11" s="286" customFormat="1" ht="12" customHeight="1">
      <c r="A37" s="290" t="s">
        <v>90</v>
      </c>
      <c r="B37" s="125" t="s">
        <v>274</v>
      </c>
      <c r="C37" s="494">
        <v>3668666</v>
      </c>
      <c r="D37" s="494">
        <v>4899386</v>
      </c>
      <c r="E37" s="495">
        <v>2400000</v>
      </c>
      <c r="F37" s="495">
        <v>2400000</v>
      </c>
      <c r="G37" s="495">
        <v>2400000</v>
      </c>
      <c r="H37" s="495">
        <v>2400000</v>
      </c>
      <c r="I37" s="495">
        <v>2400000</v>
      </c>
      <c r="J37" s="495">
        <v>2400000</v>
      </c>
      <c r="K37" s="495">
        <f>2400000+40000+200000</f>
        <v>2640000</v>
      </c>
    </row>
    <row r="38" spans="1:11" s="286" customFormat="1" ht="12" customHeight="1">
      <c r="A38" s="290" t="s">
        <v>166</v>
      </c>
      <c r="B38" s="125" t="s">
        <v>275</v>
      </c>
      <c r="C38" s="494"/>
      <c r="D38" s="494"/>
      <c r="E38" s="495"/>
      <c r="F38" s="495"/>
      <c r="G38" s="495"/>
      <c r="H38" s="495"/>
      <c r="I38" s="495"/>
      <c r="J38" s="495"/>
      <c r="K38" s="495"/>
    </row>
    <row r="39" spans="1:11" s="286" customFormat="1" ht="12" customHeight="1">
      <c r="A39" s="290" t="s">
        <v>167</v>
      </c>
      <c r="B39" s="125" t="s">
        <v>276</v>
      </c>
      <c r="C39" s="494">
        <v>8569307</v>
      </c>
      <c r="D39" s="494">
        <v>2039171</v>
      </c>
      <c r="E39" s="495">
        <v>1500000</v>
      </c>
      <c r="F39" s="495">
        <v>1500000</v>
      </c>
      <c r="G39" s="495">
        <v>1500000</v>
      </c>
      <c r="H39" s="495">
        <v>1500000</v>
      </c>
      <c r="I39" s="495">
        <v>1500000</v>
      </c>
      <c r="J39" s="495">
        <f>1500000+300000</f>
        <v>1800000</v>
      </c>
      <c r="K39" s="495">
        <f>1500000+300000+35000</f>
        <v>1835000</v>
      </c>
    </row>
    <row r="40" spans="1:11" s="286" customFormat="1" ht="12" customHeight="1">
      <c r="A40" s="290" t="s">
        <v>168</v>
      </c>
      <c r="B40" s="125" t="s">
        <v>277</v>
      </c>
      <c r="C40" s="494">
        <v>28996211</v>
      </c>
      <c r="D40" s="494">
        <v>35871590</v>
      </c>
      <c r="E40" s="495">
        <v>26748983</v>
      </c>
      <c r="F40" s="495">
        <v>26748983</v>
      </c>
      <c r="G40" s="495">
        <f>26748983+35697-52937-31890</f>
        <v>26699853</v>
      </c>
      <c r="H40" s="495">
        <f>26748983+35697-52937-31890</f>
        <v>26699853</v>
      </c>
      <c r="I40" s="495">
        <f>26748983+35697-52937-31890+7200000</f>
        <v>33899853</v>
      </c>
      <c r="J40" s="495">
        <f>26748983+35697-52937-31890+7200000</f>
        <v>33899853</v>
      </c>
      <c r="K40" s="495">
        <f>26748983+35697-52937-31890+7200000+530000+380000</f>
        <v>34809853</v>
      </c>
    </row>
    <row r="41" spans="1:11" s="286" customFormat="1" ht="12" customHeight="1">
      <c r="A41" s="290" t="s">
        <v>169</v>
      </c>
      <c r="B41" s="125" t="s">
        <v>278</v>
      </c>
      <c r="C41" s="494"/>
      <c r="D41" s="494"/>
      <c r="E41" s="495">
        <v>14000000</v>
      </c>
      <c r="F41" s="495">
        <v>14000000</v>
      </c>
      <c r="G41" s="495">
        <v>14000000</v>
      </c>
      <c r="H41" s="495">
        <v>14000000</v>
      </c>
      <c r="I41" s="495">
        <v>14000000</v>
      </c>
      <c r="J41" s="495">
        <v>14000000</v>
      </c>
      <c r="K41" s="495">
        <v>14000000</v>
      </c>
    </row>
    <row r="42" spans="1:11" s="286" customFormat="1" ht="12" customHeight="1">
      <c r="A42" s="290" t="s">
        <v>170</v>
      </c>
      <c r="B42" s="125" t="s">
        <v>279</v>
      </c>
      <c r="C42" s="494">
        <v>17867</v>
      </c>
      <c r="D42" s="494">
        <v>40482</v>
      </c>
      <c r="E42" s="495">
        <v>20000</v>
      </c>
      <c r="F42" s="495">
        <v>20000</v>
      </c>
      <c r="G42" s="495">
        <v>20000</v>
      </c>
      <c r="H42" s="495">
        <v>20000</v>
      </c>
      <c r="I42" s="495">
        <v>20000</v>
      </c>
      <c r="J42" s="495">
        <v>20000</v>
      </c>
      <c r="K42" s="495">
        <v>20000</v>
      </c>
    </row>
    <row r="43" spans="1:11" s="286" customFormat="1" ht="12" customHeight="1">
      <c r="A43" s="290" t="s">
        <v>270</v>
      </c>
      <c r="B43" s="125" t="s">
        <v>280</v>
      </c>
      <c r="C43" s="494"/>
      <c r="D43" s="494"/>
      <c r="E43" s="495"/>
      <c r="F43" s="495"/>
      <c r="G43" s="495"/>
      <c r="H43" s="495"/>
      <c r="I43" s="495"/>
      <c r="J43" s="495"/>
      <c r="K43" s="495"/>
    </row>
    <row r="44" spans="1:11" s="286" customFormat="1" ht="12" customHeight="1">
      <c r="A44" s="292" t="s">
        <v>271</v>
      </c>
      <c r="B44" s="127" t="s">
        <v>432</v>
      </c>
      <c r="C44" s="496"/>
      <c r="D44" s="496"/>
      <c r="E44" s="497"/>
      <c r="F44" s="497"/>
      <c r="G44" s="497"/>
      <c r="H44" s="497"/>
      <c r="I44" s="497"/>
      <c r="J44" s="497"/>
      <c r="K44" s="497"/>
    </row>
    <row r="45" spans="1:11" s="286" customFormat="1" ht="12" customHeight="1" thickBot="1">
      <c r="A45" s="292" t="s">
        <v>431</v>
      </c>
      <c r="B45" s="293" t="s">
        <v>281</v>
      </c>
      <c r="C45" s="496">
        <v>66920</v>
      </c>
      <c r="D45" s="496">
        <v>447565</v>
      </c>
      <c r="E45" s="497">
        <v>412855</v>
      </c>
      <c r="F45" s="497">
        <v>412855</v>
      </c>
      <c r="G45" s="497">
        <f>412855+82824</f>
        <v>495679</v>
      </c>
      <c r="H45" s="497">
        <f>412855+82824</f>
        <v>495679</v>
      </c>
      <c r="I45" s="497">
        <f>412855+82824+70000</f>
        <v>565679</v>
      </c>
      <c r="J45" s="497">
        <f>412855+82824+70000+70000</f>
        <v>635679</v>
      </c>
      <c r="K45" s="497">
        <f>412855+82824+70000+70000+41000</f>
        <v>676679</v>
      </c>
    </row>
    <row r="46" spans="1:11" s="286" customFormat="1" ht="12" customHeight="1" thickBot="1">
      <c r="A46" s="287" t="s">
        <v>21</v>
      </c>
      <c r="B46" s="288" t="s">
        <v>282</v>
      </c>
      <c r="C46" s="490">
        <f t="shared" ref="C46:I46" si="6">SUM(C47:C51)</f>
        <v>200003</v>
      </c>
      <c r="D46" s="490">
        <f t="shared" si="6"/>
        <v>8986168</v>
      </c>
      <c r="E46" s="491">
        <f t="shared" si="6"/>
        <v>0</v>
      </c>
      <c r="F46" s="491">
        <f t="shared" si="6"/>
        <v>0</v>
      </c>
      <c r="G46" s="491">
        <f t="shared" si="6"/>
        <v>0</v>
      </c>
      <c r="H46" s="491">
        <f t="shared" si="6"/>
        <v>0</v>
      </c>
      <c r="I46" s="491">
        <f t="shared" si="6"/>
        <v>0</v>
      </c>
      <c r="J46" s="491">
        <f>SUM(J47:J51)</f>
        <v>0</v>
      </c>
      <c r="K46" s="491">
        <f>SUM(K47:K51)</f>
        <v>9574</v>
      </c>
    </row>
    <row r="47" spans="1:11" s="286" customFormat="1" ht="12" customHeight="1">
      <c r="A47" s="289" t="s">
        <v>91</v>
      </c>
      <c r="B47" s="124" t="s">
        <v>286</v>
      </c>
      <c r="C47" s="492"/>
      <c r="D47" s="492"/>
      <c r="E47" s="493"/>
      <c r="F47" s="493"/>
      <c r="G47" s="493"/>
      <c r="H47" s="493"/>
      <c r="I47" s="493"/>
      <c r="J47" s="493"/>
      <c r="K47" s="493"/>
    </row>
    <row r="48" spans="1:11" s="286" customFormat="1" ht="12" customHeight="1">
      <c r="A48" s="290" t="s">
        <v>92</v>
      </c>
      <c r="B48" s="125" t="s">
        <v>287</v>
      </c>
      <c r="C48" s="494">
        <v>200003</v>
      </c>
      <c r="D48" s="494">
        <v>8986168</v>
      </c>
      <c r="E48" s="495"/>
      <c r="F48" s="495"/>
      <c r="G48" s="495"/>
      <c r="H48" s="495"/>
      <c r="I48" s="495"/>
      <c r="J48" s="495"/>
      <c r="K48" s="495"/>
    </row>
    <row r="49" spans="1:11" s="286" customFormat="1" ht="12" customHeight="1">
      <c r="A49" s="290" t="s">
        <v>283</v>
      </c>
      <c r="B49" s="125" t="s">
        <v>288</v>
      </c>
      <c r="C49" s="494"/>
      <c r="D49" s="494"/>
      <c r="E49" s="495"/>
      <c r="F49" s="495"/>
      <c r="G49" s="495"/>
      <c r="H49" s="495"/>
      <c r="I49" s="495"/>
      <c r="J49" s="495"/>
      <c r="K49" s="495"/>
    </row>
    <row r="50" spans="1:11" s="286" customFormat="1" ht="12" customHeight="1">
      <c r="A50" s="290" t="s">
        <v>284</v>
      </c>
      <c r="B50" s="125" t="s">
        <v>289</v>
      </c>
      <c r="C50" s="494"/>
      <c r="D50" s="494"/>
      <c r="E50" s="495"/>
      <c r="F50" s="495"/>
      <c r="G50" s="495"/>
      <c r="H50" s="495"/>
      <c r="I50" s="495"/>
      <c r="J50" s="495"/>
      <c r="K50" s="495">
        <v>9574</v>
      </c>
    </row>
    <row r="51" spans="1:11" s="286" customFormat="1" ht="12" customHeight="1" thickBot="1">
      <c r="A51" s="292" t="s">
        <v>285</v>
      </c>
      <c r="B51" s="293" t="s">
        <v>290</v>
      </c>
      <c r="C51" s="496"/>
      <c r="D51" s="496"/>
      <c r="E51" s="497"/>
      <c r="F51" s="497"/>
      <c r="G51" s="497"/>
      <c r="H51" s="497"/>
      <c r="I51" s="497"/>
      <c r="J51" s="497"/>
      <c r="K51" s="497"/>
    </row>
    <row r="52" spans="1:11" s="286" customFormat="1" ht="12" customHeight="1" thickBot="1">
      <c r="A52" s="287" t="s">
        <v>171</v>
      </c>
      <c r="B52" s="288" t="s">
        <v>291</v>
      </c>
      <c r="C52" s="490">
        <f t="shared" ref="C52:I52" si="7">SUM(C53:C55)</f>
        <v>150000</v>
      </c>
      <c r="D52" s="490">
        <f t="shared" si="7"/>
        <v>346102</v>
      </c>
      <c r="E52" s="491">
        <f t="shared" si="7"/>
        <v>0</v>
      </c>
      <c r="F52" s="491">
        <f t="shared" si="7"/>
        <v>0</v>
      </c>
      <c r="G52" s="491">
        <f t="shared" si="7"/>
        <v>0</v>
      </c>
      <c r="H52" s="491">
        <f t="shared" si="7"/>
        <v>0</v>
      </c>
      <c r="I52" s="491">
        <f t="shared" si="7"/>
        <v>0</v>
      </c>
      <c r="J52" s="491">
        <f>SUM(J53:J55)</f>
        <v>0</v>
      </c>
      <c r="K52" s="491">
        <f>SUM(K53:K55)</f>
        <v>0</v>
      </c>
    </row>
    <row r="53" spans="1:11" s="286" customFormat="1" ht="12" customHeight="1">
      <c r="A53" s="289" t="s">
        <v>93</v>
      </c>
      <c r="B53" s="124" t="s">
        <v>292</v>
      </c>
      <c r="C53" s="492"/>
      <c r="D53" s="492"/>
      <c r="E53" s="493"/>
      <c r="F53" s="493"/>
      <c r="G53" s="493"/>
      <c r="H53" s="493"/>
      <c r="I53" s="493"/>
      <c r="J53" s="493"/>
      <c r="K53" s="493"/>
    </row>
    <row r="54" spans="1:11" s="286" customFormat="1" ht="12" customHeight="1">
      <c r="A54" s="290" t="s">
        <v>94</v>
      </c>
      <c r="B54" s="125" t="s">
        <v>422</v>
      </c>
      <c r="C54" s="494"/>
      <c r="D54" s="494"/>
      <c r="E54" s="495"/>
      <c r="F54" s="495"/>
      <c r="G54" s="495"/>
      <c r="H54" s="495"/>
      <c r="I54" s="495"/>
      <c r="J54" s="495"/>
      <c r="K54" s="495"/>
    </row>
    <row r="55" spans="1:11" s="286" customFormat="1" ht="12" customHeight="1">
      <c r="A55" s="290" t="s">
        <v>295</v>
      </c>
      <c r="B55" s="125" t="s">
        <v>293</v>
      </c>
      <c r="C55" s="494">
        <v>150000</v>
      </c>
      <c r="D55" s="494">
        <v>346102</v>
      </c>
      <c r="E55" s="495"/>
      <c r="F55" s="495"/>
      <c r="G55" s="495"/>
      <c r="H55" s="495"/>
      <c r="I55" s="495"/>
      <c r="J55" s="495"/>
      <c r="K55" s="495"/>
    </row>
    <row r="56" spans="1:11" s="286" customFormat="1" ht="12" customHeight="1" thickBot="1">
      <c r="A56" s="292" t="s">
        <v>296</v>
      </c>
      <c r="B56" s="293" t="s">
        <v>294</v>
      </c>
      <c r="C56" s="496"/>
      <c r="D56" s="496"/>
      <c r="E56" s="497"/>
      <c r="F56" s="497"/>
      <c r="G56" s="497"/>
      <c r="H56" s="497"/>
      <c r="I56" s="497"/>
      <c r="J56" s="497"/>
      <c r="K56" s="497"/>
    </row>
    <row r="57" spans="1:11" s="286" customFormat="1" ht="12" customHeight="1" thickBot="1">
      <c r="A57" s="287" t="s">
        <v>23</v>
      </c>
      <c r="B57" s="294" t="s">
        <v>297</v>
      </c>
      <c r="C57" s="490">
        <f t="shared" ref="C57:I57" si="8">SUM(C58:C60)</f>
        <v>4810000</v>
      </c>
      <c r="D57" s="490">
        <f t="shared" si="8"/>
        <v>120000</v>
      </c>
      <c r="E57" s="491">
        <f t="shared" si="8"/>
        <v>120000</v>
      </c>
      <c r="F57" s="491">
        <f t="shared" si="8"/>
        <v>120000</v>
      </c>
      <c r="G57" s="491">
        <f t="shared" si="8"/>
        <v>120000</v>
      </c>
      <c r="H57" s="491">
        <f t="shared" si="8"/>
        <v>120000</v>
      </c>
      <c r="I57" s="491">
        <f t="shared" si="8"/>
        <v>120000</v>
      </c>
      <c r="J57" s="491">
        <f>SUM(J58:J60)</f>
        <v>120000</v>
      </c>
      <c r="K57" s="491">
        <f>SUM(K58:K60)</f>
        <v>226000</v>
      </c>
    </row>
    <row r="58" spans="1:11" s="286" customFormat="1" ht="12" customHeight="1">
      <c r="A58" s="289" t="s">
        <v>172</v>
      </c>
      <c r="B58" s="124" t="s">
        <v>299</v>
      </c>
      <c r="C58" s="494"/>
      <c r="D58" s="494"/>
      <c r="E58" s="495"/>
      <c r="F58" s="495"/>
      <c r="G58" s="495"/>
      <c r="H58" s="495"/>
      <c r="I58" s="495"/>
      <c r="J58" s="495"/>
      <c r="K58" s="495"/>
    </row>
    <row r="59" spans="1:11" s="286" customFormat="1" ht="12" customHeight="1">
      <c r="A59" s="290" t="s">
        <v>173</v>
      </c>
      <c r="B59" s="125" t="s">
        <v>423</v>
      </c>
      <c r="C59" s="494">
        <v>110000</v>
      </c>
      <c r="D59" s="494">
        <v>120000</v>
      </c>
      <c r="E59" s="495">
        <v>120000</v>
      </c>
      <c r="F59" s="495">
        <v>120000</v>
      </c>
      <c r="G59" s="495">
        <v>120000</v>
      </c>
      <c r="H59" s="495">
        <v>120000</v>
      </c>
      <c r="I59" s="495">
        <v>120000</v>
      </c>
      <c r="J59" s="495">
        <v>120000</v>
      </c>
      <c r="K59" s="495">
        <f>120000+106000</f>
        <v>226000</v>
      </c>
    </row>
    <row r="60" spans="1:11" s="286" customFormat="1" ht="12" customHeight="1">
      <c r="A60" s="290" t="s">
        <v>221</v>
      </c>
      <c r="B60" s="125" t="s">
        <v>300</v>
      </c>
      <c r="C60" s="494">
        <v>4700000</v>
      </c>
      <c r="D60" s="494"/>
      <c r="E60" s="495"/>
      <c r="F60" s="495"/>
      <c r="G60" s="495"/>
      <c r="H60" s="495"/>
      <c r="I60" s="495"/>
      <c r="J60" s="495"/>
      <c r="K60" s="495"/>
    </row>
    <row r="61" spans="1:11" s="286" customFormat="1" ht="12" customHeight="1" thickBot="1">
      <c r="A61" s="292" t="s">
        <v>298</v>
      </c>
      <c r="B61" s="293" t="s">
        <v>301</v>
      </c>
      <c r="C61" s="494"/>
      <c r="D61" s="494"/>
      <c r="E61" s="495"/>
      <c r="F61" s="495"/>
      <c r="G61" s="495"/>
      <c r="H61" s="495"/>
      <c r="I61" s="495"/>
      <c r="J61" s="495"/>
      <c r="K61" s="495"/>
    </row>
    <row r="62" spans="1:11" s="286" customFormat="1" ht="12" customHeight="1" thickBot="1">
      <c r="A62" s="295" t="s">
        <v>474</v>
      </c>
      <c r="B62" s="288" t="s">
        <v>302</v>
      </c>
      <c r="C62" s="490">
        <f>+C5+C12+C19+C26+C34+C46+C52+C57</f>
        <v>600088351</v>
      </c>
      <c r="D62" s="491">
        <f>D5+D12+D19+D26+D34+D46+D52+D57</f>
        <v>1006869998</v>
      </c>
      <c r="E62" s="491">
        <f t="shared" ref="E62:J62" si="9">+E5+E12+E19+E26+E34+E46+E52+E57</f>
        <v>617542615</v>
      </c>
      <c r="F62" s="491">
        <f t="shared" si="9"/>
        <v>621003129</v>
      </c>
      <c r="G62" s="491">
        <f t="shared" si="9"/>
        <v>628031198</v>
      </c>
      <c r="H62" s="491">
        <f t="shared" si="9"/>
        <v>630531198</v>
      </c>
      <c r="I62" s="491">
        <f t="shared" si="9"/>
        <v>668267095</v>
      </c>
      <c r="J62" s="491">
        <f t="shared" si="9"/>
        <v>697355639</v>
      </c>
      <c r="K62" s="491">
        <f>+K5+K12+K19+K26+K34+K46+K52+K57</f>
        <v>711299653</v>
      </c>
    </row>
    <row r="63" spans="1:11" s="286" customFormat="1" ht="12" customHeight="1" thickBot="1">
      <c r="A63" s="296" t="s">
        <v>303</v>
      </c>
      <c r="B63" s="294" t="s">
        <v>536</v>
      </c>
      <c r="C63" s="490">
        <f t="shared" ref="C63:I63" si="10">SUM(C64:C66)</f>
        <v>0</v>
      </c>
      <c r="D63" s="490">
        <f t="shared" si="10"/>
        <v>0</v>
      </c>
      <c r="E63" s="491">
        <f t="shared" si="10"/>
        <v>0</v>
      </c>
      <c r="F63" s="491">
        <f t="shared" si="10"/>
        <v>0</v>
      </c>
      <c r="G63" s="491">
        <f t="shared" si="10"/>
        <v>0</v>
      </c>
      <c r="H63" s="491">
        <f t="shared" si="10"/>
        <v>0</v>
      </c>
      <c r="I63" s="491">
        <f t="shared" si="10"/>
        <v>0</v>
      </c>
      <c r="J63" s="491">
        <f>SUM(J64:J66)</f>
        <v>0</v>
      </c>
      <c r="K63" s="491">
        <f>SUM(K64:K66)</f>
        <v>0</v>
      </c>
    </row>
    <row r="64" spans="1:11" s="286" customFormat="1" ht="12" customHeight="1">
      <c r="A64" s="289" t="s">
        <v>335</v>
      </c>
      <c r="B64" s="124" t="s">
        <v>305</v>
      </c>
      <c r="C64" s="494"/>
      <c r="D64" s="494"/>
      <c r="E64" s="495"/>
      <c r="F64" s="495"/>
      <c r="G64" s="495"/>
      <c r="H64" s="495"/>
      <c r="I64" s="495"/>
      <c r="J64" s="495"/>
      <c r="K64" s="495"/>
    </row>
    <row r="65" spans="1:11" s="286" customFormat="1" ht="12" customHeight="1">
      <c r="A65" s="290" t="s">
        <v>344</v>
      </c>
      <c r="B65" s="125" t="s">
        <v>306</v>
      </c>
      <c r="C65" s="494"/>
      <c r="D65" s="494"/>
      <c r="E65" s="495"/>
      <c r="F65" s="495"/>
      <c r="G65" s="495"/>
      <c r="H65" s="495"/>
      <c r="I65" s="495"/>
      <c r="J65" s="495"/>
      <c r="K65" s="495"/>
    </row>
    <row r="66" spans="1:11" s="286" customFormat="1" ht="12" customHeight="1" thickBot="1">
      <c r="A66" s="292" t="s">
        <v>345</v>
      </c>
      <c r="B66" s="297" t="s">
        <v>459</v>
      </c>
      <c r="C66" s="494"/>
      <c r="D66" s="494"/>
      <c r="E66" s="495"/>
      <c r="F66" s="495"/>
      <c r="G66" s="495"/>
      <c r="H66" s="495"/>
      <c r="I66" s="495"/>
      <c r="J66" s="495"/>
      <c r="K66" s="495"/>
    </row>
    <row r="67" spans="1:11" s="286" customFormat="1" ht="12" customHeight="1" thickBot="1">
      <c r="A67" s="296" t="s">
        <v>308</v>
      </c>
      <c r="B67" s="294" t="s">
        <v>309</v>
      </c>
      <c r="C67" s="490">
        <f t="shared" ref="C67:I67" si="11">SUM(C68:C71)</f>
        <v>0</v>
      </c>
      <c r="D67" s="490">
        <f t="shared" si="11"/>
        <v>0</v>
      </c>
      <c r="E67" s="491">
        <f t="shared" si="11"/>
        <v>0</v>
      </c>
      <c r="F67" s="491">
        <f t="shared" si="11"/>
        <v>0</v>
      </c>
      <c r="G67" s="491">
        <f t="shared" si="11"/>
        <v>0</v>
      </c>
      <c r="H67" s="491">
        <f t="shared" si="11"/>
        <v>0</v>
      </c>
      <c r="I67" s="491">
        <f t="shared" si="11"/>
        <v>9574</v>
      </c>
      <c r="J67" s="491">
        <f>SUM(J68:J71)</f>
        <v>9574</v>
      </c>
      <c r="K67" s="491">
        <f>SUM(K68:K71)</f>
        <v>0</v>
      </c>
    </row>
    <row r="68" spans="1:11" s="286" customFormat="1" ht="12" customHeight="1">
      <c r="A68" s="289" t="s">
        <v>142</v>
      </c>
      <c r="B68" s="124" t="s">
        <v>310</v>
      </c>
      <c r="C68" s="494"/>
      <c r="D68" s="494"/>
      <c r="E68" s="495"/>
      <c r="F68" s="495"/>
      <c r="G68" s="495"/>
      <c r="H68" s="495"/>
      <c r="I68" s="495"/>
      <c r="J68" s="495"/>
      <c r="K68" s="495"/>
    </row>
    <row r="69" spans="1:11" s="286" customFormat="1" ht="17.25" customHeight="1">
      <c r="A69" s="290" t="s">
        <v>143</v>
      </c>
      <c r="B69" s="125" t="s">
        <v>311</v>
      </c>
      <c r="C69" s="494"/>
      <c r="D69" s="494"/>
      <c r="E69" s="495"/>
      <c r="F69" s="495"/>
      <c r="G69" s="495"/>
      <c r="H69" s="495"/>
      <c r="I69" s="495"/>
      <c r="J69" s="495"/>
      <c r="K69" s="495"/>
    </row>
    <row r="70" spans="1:11" s="286" customFormat="1" ht="12" customHeight="1">
      <c r="A70" s="290" t="s">
        <v>336</v>
      </c>
      <c r="B70" s="125" t="s">
        <v>312</v>
      </c>
      <c r="C70" s="494"/>
      <c r="D70" s="494"/>
      <c r="E70" s="495"/>
      <c r="F70" s="495"/>
      <c r="G70" s="495"/>
      <c r="H70" s="495"/>
      <c r="I70" s="495">
        <v>9574</v>
      </c>
      <c r="J70" s="495">
        <v>9574</v>
      </c>
      <c r="K70" s="495"/>
    </row>
    <row r="71" spans="1:11" s="286" customFormat="1" ht="12" customHeight="1" thickBot="1">
      <c r="A71" s="292" t="s">
        <v>337</v>
      </c>
      <c r="B71" s="293" t="s">
        <v>313</v>
      </c>
      <c r="C71" s="494"/>
      <c r="D71" s="494"/>
      <c r="E71" s="495"/>
      <c r="F71" s="495"/>
      <c r="G71" s="495"/>
      <c r="H71" s="495"/>
      <c r="I71" s="495"/>
      <c r="J71" s="495"/>
      <c r="K71" s="495"/>
    </row>
    <row r="72" spans="1:11" s="286" customFormat="1" ht="12" customHeight="1" thickBot="1">
      <c r="A72" s="296" t="s">
        <v>314</v>
      </c>
      <c r="B72" s="294" t="s">
        <v>315</v>
      </c>
      <c r="C72" s="490">
        <f t="shared" ref="C72:I72" si="12">SUM(C73:C74)</f>
        <v>172128534</v>
      </c>
      <c r="D72" s="490">
        <f t="shared" si="12"/>
        <v>222974509</v>
      </c>
      <c r="E72" s="491">
        <f t="shared" si="12"/>
        <v>606054429</v>
      </c>
      <c r="F72" s="491">
        <f t="shared" si="12"/>
        <v>606054429</v>
      </c>
      <c r="G72" s="491">
        <f t="shared" si="12"/>
        <v>605704429</v>
      </c>
      <c r="H72" s="491">
        <f t="shared" si="12"/>
        <v>605704429</v>
      </c>
      <c r="I72" s="491">
        <f t="shared" si="12"/>
        <v>605704429</v>
      </c>
      <c r="J72" s="491">
        <f>SUM(J73:J74)</f>
        <v>605704429</v>
      </c>
      <c r="K72" s="491">
        <f>SUM(K73:K74)</f>
        <v>605704429</v>
      </c>
    </row>
    <row r="73" spans="1:11" s="286" customFormat="1" ht="12" customHeight="1">
      <c r="A73" s="289" t="s">
        <v>338</v>
      </c>
      <c r="B73" s="124" t="s">
        <v>316</v>
      </c>
      <c r="C73" s="494">
        <v>172128534</v>
      </c>
      <c r="D73" s="494">
        <v>222974509</v>
      </c>
      <c r="E73" s="495">
        <v>606054429</v>
      </c>
      <c r="F73" s="495">
        <v>606054429</v>
      </c>
      <c r="G73" s="495">
        <f>606054429-350000</f>
        <v>605704429</v>
      </c>
      <c r="H73" s="495">
        <f>606054429-350000</f>
        <v>605704429</v>
      </c>
      <c r="I73" s="495">
        <f>606054429-350000</f>
        <v>605704429</v>
      </c>
      <c r="J73" s="495">
        <f>606054429-350000</f>
        <v>605704429</v>
      </c>
      <c r="K73" s="495">
        <f>606054429-350000</f>
        <v>605704429</v>
      </c>
    </row>
    <row r="74" spans="1:11" s="286" customFormat="1" ht="12" customHeight="1" thickBot="1">
      <c r="A74" s="292" t="s">
        <v>339</v>
      </c>
      <c r="B74" s="293" t="s">
        <v>317</v>
      </c>
      <c r="C74" s="494"/>
      <c r="D74" s="494"/>
      <c r="E74" s="495"/>
      <c r="F74" s="495"/>
      <c r="G74" s="495"/>
      <c r="H74" s="495"/>
      <c r="I74" s="495"/>
      <c r="J74" s="495"/>
      <c r="K74" s="495"/>
    </row>
    <row r="75" spans="1:11" s="286" customFormat="1" ht="12" customHeight="1" thickBot="1">
      <c r="A75" s="296" t="s">
        <v>318</v>
      </c>
      <c r="B75" s="294" t="s">
        <v>319</v>
      </c>
      <c r="C75" s="490">
        <f t="shared" ref="C75:I75" si="13">SUM(C76:C78)</f>
        <v>7777206</v>
      </c>
      <c r="D75" s="490">
        <f t="shared" si="13"/>
        <v>8273601</v>
      </c>
      <c r="E75" s="491">
        <f t="shared" si="13"/>
        <v>0</v>
      </c>
      <c r="F75" s="491">
        <f t="shared" si="13"/>
        <v>72564</v>
      </c>
      <c r="G75" s="491">
        <f t="shared" si="13"/>
        <v>72564</v>
      </c>
      <c r="H75" s="491">
        <f t="shared" si="13"/>
        <v>72564</v>
      </c>
      <c r="I75" s="491">
        <f t="shared" si="13"/>
        <v>72564</v>
      </c>
      <c r="J75" s="491">
        <f>SUM(J76:J78)</f>
        <v>72564</v>
      </c>
      <c r="K75" s="491">
        <f>SUM(K76:K78)</f>
        <v>8180284</v>
      </c>
    </row>
    <row r="76" spans="1:11" s="286" customFormat="1" ht="12" customHeight="1">
      <c r="A76" s="289" t="s">
        <v>340</v>
      </c>
      <c r="B76" s="124" t="s">
        <v>320</v>
      </c>
      <c r="C76" s="494">
        <v>7777206</v>
      </c>
      <c r="D76" s="494">
        <v>8273601</v>
      </c>
      <c r="E76" s="495"/>
      <c r="F76" s="495">
        <v>72564</v>
      </c>
      <c r="G76" s="495">
        <v>72564</v>
      </c>
      <c r="H76" s="495">
        <v>72564</v>
      </c>
      <c r="I76" s="495">
        <v>72564</v>
      </c>
      <c r="J76" s="495">
        <v>72564</v>
      </c>
      <c r="K76" s="495">
        <f>72564+8107720</f>
        <v>8180284</v>
      </c>
    </row>
    <row r="77" spans="1:11" s="286" customFormat="1" ht="12" customHeight="1">
      <c r="A77" s="290" t="s">
        <v>341</v>
      </c>
      <c r="B77" s="125" t="s">
        <v>321</v>
      </c>
      <c r="C77" s="494"/>
      <c r="D77" s="494"/>
      <c r="E77" s="495"/>
      <c r="F77" s="495"/>
      <c r="G77" s="495"/>
      <c r="H77" s="495"/>
      <c r="I77" s="495"/>
      <c r="J77" s="495"/>
      <c r="K77" s="495"/>
    </row>
    <row r="78" spans="1:11" s="286" customFormat="1" ht="12" customHeight="1" thickBot="1">
      <c r="A78" s="292" t="s">
        <v>342</v>
      </c>
      <c r="B78" s="293" t="s">
        <v>322</v>
      </c>
      <c r="C78" s="494"/>
      <c r="D78" s="494"/>
      <c r="E78" s="495"/>
      <c r="F78" s="495"/>
      <c r="G78" s="495"/>
      <c r="H78" s="495"/>
      <c r="I78" s="495"/>
      <c r="J78" s="495"/>
      <c r="K78" s="495"/>
    </row>
    <row r="79" spans="1:11" s="286" customFormat="1" ht="12" customHeight="1" thickBot="1">
      <c r="A79" s="296" t="s">
        <v>323</v>
      </c>
      <c r="B79" s="294" t="s">
        <v>343</v>
      </c>
      <c r="C79" s="490">
        <f t="shared" ref="C79:I79" si="14">SUM(C80:C83)</f>
        <v>0</v>
      </c>
      <c r="D79" s="490">
        <f t="shared" si="14"/>
        <v>0</v>
      </c>
      <c r="E79" s="491">
        <f t="shared" si="14"/>
        <v>0</v>
      </c>
      <c r="F79" s="491">
        <f t="shared" si="14"/>
        <v>0</v>
      </c>
      <c r="G79" s="491">
        <f t="shared" si="14"/>
        <v>0</v>
      </c>
      <c r="H79" s="491">
        <f t="shared" si="14"/>
        <v>0</v>
      </c>
      <c r="I79" s="491">
        <f t="shared" si="14"/>
        <v>0</v>
      </c>
      <c r="J79" s="491">
        <f>SUM(J80:J83)</f>
        <v>0</v>
      </c>
      <c r="K79" s="491">
        <f>SUM(K80:K83)</f>
        <v>0</v>
      </c>
    </row>
    <row r="80" spans="1:11" s="286" customFormat="1" ht="12" customHeight="1">
      <c r="A80" s="298" t="s">
        <v>324</v>
      </c>
      <c r="B80" s="124" t="s">
        <v>325</v>
      </c>
      <c r="C80" s="494"/>
      <c r="D80" s="494"/>
      <c r="E80" s="495"/>
      <c r="F80" s="495"/>
      <c r="G80" s="495"/>
      <c r="H80" s="495"/>
      <c r="I80" s="495"/>
      <c r="J80" s="495"/>
      <c r="K80" s="495"/>
    </row>
    <row r="81" spans="1:11" s="286" customFormat="1" ht="12" customHeight="1">
      <c r="A81" s="299" t="s">
        <v>326</v>
      </c>
      <c r="B81" s="125" t="s">
        <v>327</v>
      </c>
      <c r="C81" s="494"/>
      <c r="D81" s="494"/>
      <c r="E81" s="495"/>
      <c r="F81" s="495"/>
      <c r="G81" s="495"/>
      <c r="H81" s="495"/>
      <c r="I81" s="495"/>
      <c r="J81" s="495"/>
      <c r="K81" s="495"/>
    </row>
    <row r="82" spans="1:11" s="286" customFormat="1" ht="12" customHeight="1">
      <c r="A82" s="299" t="s">
        <v>328</v>
      </c>
      <c r="B82" s="125" t="s">
        <v>329</v>
      </c>
      <c r="C82" s="494"/>
      <c r="D82" s="494"/>
      <c r="E82" s="495"/>
      <c r="F82" s="495"/>
      <c r="G82" s="495"/>
      <c r="H82" s="495"/>
      <c r="I82" s="495"/>
      <c r="J82" s="495"/>
      <c r="K82" s="495"/>
    </row>
    <row r="83" spans="1:11" s="286" customFormat="1" ht="12" customHeight="1" thickBot="1">
      <c r="A83" s="300" t="s">
        <v>330</v>
      </c>
      <c r="B83" s="293" t="s">
        <v>331</v>
      </c>
      <c r="C83" s="494"/>
      <c r="D83" s="494"/>
      <c r="E83" s="495"/>
      <c r="F83" s="495"/>
      <c r="G83" s="495"/>
      <c r="H83" s="495"/>
      <c r="I83" s="495"/>
      <c r="J83" s="495"/>
      <c r="K83" s="495"/>
    </row>
    <row r="84" spans="1:11" s="286" customFormat="1" ht="12" customHeight="1" thickBot="1">
      <c r="A84" s="296" t="s">
        <v>332</v>
      </c>
      <c r="B84" s="294" t="s">
        <v>473</v>
      </c>
      <c r="C84" s="500"/>
      <c r="D84" s="500"/>
      <c r="E84" s="501"/>
      <c r="F84" s="501"/>
      <c r="G84" s="501"/>
      <c r="H84" s="501"/>
      <c r="I84" s="501"/>
      <c r="J84" s="501"/>
      <c r="K84" s="501"/>
    </row>
    <row r="85" spans="1:11" s="286" customFormat="1" ht="12" customHeight="1" thickBot="1">
      <c r="A85" s="296" t="s">
        <v>334</v>
      </c>
      <c r="B85" s="294" t="s">
        <v>333</v>
      </c>
      <c r="C85" s="500"/>
      <c r="D85" s="500"/>
      <c r="E85" s="501"/>
      <c r="F85" s="501"/>
      <c r="G85" s="501"/>
      <c r="H85" s="501"/>
      <c r="I85" s="501"/>
      <c r="J85" s="501"/>
      <c r="K85" s="501"/>
    </row>
    <row r="86" spans="1:11" s="286" customFormat="1" ht="12" customHeight="1" thickBot="1">
      <c r="A86" s="296" t="s">
        <v>346</v>
      </c>
      <c r="B86" s="301" t="s">
        <v>476</v>
      </c>
      <c r="C86" s="490">
        <f t="shared" ref="C86:I86" si="15">+C63+C67+C72+C75+C79+C85+C84</f>
        <v>179905740</v>
      </c>
      <c r="D86" s="490">
        <f t="shared" si="15"/>
        <v>231248110</v>
      </c>
      <c r="E86" s="491">
        <f t="shared" si="15"/>
        <v>606054429</v>
      </c>
      <c r="F86" s="491">
        <f t="shared" si="15"/>
        <v>606126993</v>
      </c>
      <c r="G86" s="491">
        <f t="shared" si="15"/>
        <v>605776993</v>
      </c>
      <c r="H86" s="491">
        <f t="shared" si="15"/>
        <v>605776993</v>
      </c>
      <c r="I86" s="491">
        <f t="shared" si="15"/>
        <v>605786567</v>
      </c>
      <c r="J86" s="491">
        <f>+J63+J67+J72+J75+J79+J85+J84</f>
        <v>605786567</v>
      </c>
      <c r="K86" s="491">
        <f>+K63+K67+K72+K75+K79+K85+K84</f>
        <v>613884713</v>
      </c>
    </row>
    <row r="87" spans="1:11" s="286" customFormat="1" ht="12" customHeight="1" thickBot="1">
      <c r="A87" s="302" t="s">
        <v>33</v>
      </c>
      <c r="B87" s="303" t="s">
        <v>557</v>
      </c>
      <c r="C87" s="490"/>
      <c r="D87" s="490"/>
      <c r="E87" s="491"/>
      <c r="F87" s="491"/>
      <c r="G87" s="491"/>
      <c r="H87" s="491"/>
      <c r="I87" s="491"/>
      <c r="J87" s="491"/>
      <c r="K87" s="491"/>
    </row>
    <row r="88" spans="1:11" s="286" customFormat="1" ht="12" customHeight="1" thickBot="1">
      <c r="A88" s="302" t="s">
        <v>34</v>
      </c>
      <c r="B88" s="303" t="s">
        <v>477</v>
      </c>
      <c r="C88" s="490">
        <f t="shared" ref="C88:I88" si="16">+C62+C86+C87</f>
        <v>779994091</v>
      </c>
      <c r="D88" s="490">
        <f t="shared" si="16"/>
        <v>1238118108</v>
      </c>
      <c r="E88" s="490">
        <f t="shared" si="16"/>
        <v>1223597044</v>
      </c>
      <c r="F88" s="490">
        <f t="shared" si="16"/>
        <v>1227130122</v>
      </c>
      <c r="G88" s="490">
        <f t="shared" si="16"/>
        <v>1233808191</v>
      </c>
      <c r="H88" s="490">
        <f t="shared" si="16"/>
        <v>1236308191</v>
      </c>
      <c r="I88" s="490">
        <f t="shared" si="16"/>
        <v>1274053662</v>
      </c>
      <c r="J88" s="490">
        <f>+J62+J86+J87</f>
        <v>1303142206</v>
      </c>
      <c r="K88" s="490">
        <f>+K62+K86+K87</f>
        <v>1325184366</v>
      </c>
    </row>
    <row r="89" spans="1:11" s="286" customFormat="1" ht="12" customHeight="1">
      <c r="A89" s="783" t="s">
        <v>44</v>
      </c>
      <c r="B89" s="783"/>
      <c r="C89" s="783"/>
      <c r="D89" s="783"/>
    </row>
    <row r="90" spans="1:11" s="286" customFormat="1" ht="12" customHeight="1" thickBot="1">
      <c r="A90" s="784" t="s">
        <v>145</v>
      </c>
      <c r="B90" s="784"/>
      <c r="C90" s="716"/>
      <c r="D90" s="474"/>
      <c r="E90" s="37" t="s">
        <v>588</v>
      </c>
      <c r="F90" s="37" t="s">
        <v>588</v>
      </c>
      <c r="G90" s="37" t="s">
        <v>588</v>
      </c>
      <c r="H90" s="37" t="s">
        <v>588</v>
      </c>
      <c r="I90" s="37" t="s">
        <v>588</v>
      </c>
      <c r="J90" s="37" t="s">
        <v>588</v>
      </c>
      <c r="K90" s="37" t="s">
        <v>588</v>
      </c>
    </row>
    <row r="91" spans="1:11" s="286" customFormat="1" ht="36" customHeight="1" thickBot="1">
      <c r="A91" s="284" t="s">
        <v>14</v>
      </c>
      <c r="B91" s="285" t="s">
        <v>45</v>
      </c>
      <c r="C91" s="285" t="str">
        <f>+C3</f>
        <v>2016. évi tény</v>
      </c>
      <c r="D91" s="285" t="str">
        <f>+D3</f>
        <v>2017. évi várható</v>
      </c>
      <c r="E91" s="489" t="str">
        <f>+E3</f>
        <v>Eredeti előirányzat (2018.01)</v>
      </c>
      <c r="F91" s="489" t="s">
        <v>738</v>
      </c>
      <c r="G91" s="489" t="s">
        <v>743</v>
      </c>
      <c r="H91" s="489" t="s">
        <v>758</v>
      </c>
      <c r="I91" s="489" t="s">
        <v>760</v>
      </c>
      <c r="J91" s="489" t="s">
        <v>773</v>
      </c>
      <c r="K91" s="489" t="s">
        <v>773</v>
      </c>
    </row>
    <row r="92" spans="1:11" s="286" customFormat="1" ht="12" customHeight="1" thickBot="1">
      <c r="A92" s="284" t="s">
        <v>485</v>
      </c>
      <c r="B92" s="285" t="s">
        <v>486</v>
      </c>
      <c r="C92" s="285" t="s">
        <v>487</v>
      </c>
      <c r="D92" s="285" t="s">
        <v>489</v>
      </c>
      <c r="E92" s="489" t="s">
        <v>488</v>
      </c>
      <c r="F92" s="489" t="s">
        <v>488</v>
      </c>
      <c r="G92" s="489" t="s">
        <v>488</v>
      </c>
      <c r="H92" s="489" t="s">
        <v>488</v>
      </c>
      <c r="I92" s="489" t="s">
        <v>488</v>
      </c>
      <c r="J92" s="489" t="s">
        <v>488</v>
      </c>
      <c r="K92" s="489" t="s">
        <v>488</v>
      </c>
    </row>
    <row r="93" spans="1:11" s="286" customFormat="1" ht="15" customHeight="1" thickBot="1">
      <c r="A93" s="304" t="s">
        <v>16</v>
      </c>
      <c r="B93" s="305" t="s">
        <v>660</v>
      </c>
      <c r="C93" s="502">
        <f t="shared" ref="C93:I93" si="17">C94+C95+C96+C97+C98+C111</f>
        <v>358150675</v>
      </c>
      <c r="D93" s="502">
        <f t="shared" si="17"/>
        <v>382028615</v>
      </c>
      <c r="E93" s="503">
        <f t="shared" si="17"/>
        <v>540903557</v>
      </c>
      <c r="F93" s="503">
        <f t="shared" si="17"/>
        <v>545100671</v>
      </c>
      <c r="G93" s="503">
        <f t="shared" si="17"/>
        <v>552254128</v>
      </c>
      <c r="H93" s="503">
        <f t="shared" si="17"/>
        <v>554754128</v>
      </c>
      <c r="I93" s="503">
        <f t="shared" si="17"/>
        <v>590024699</v>
      </c>
      <c r="J93" s="503">
        <f>J94+J95+J96+J97+J98+J111</f>
        <v>612307843</v>
      </c>
      <c r="K93" s="503">
        <f>K94+K95+K96+K97+K98+K111</f>
        <v>625559283</v>
      </c>
    </row>
    <row r="94" spans="1:11" s="286" customFormat="1" ht="12.95" customHeight="1">
      <c r="A94" s="306" t="s">
        <v>95</v>
      </c>
      <c r="B94" s="307" t="s">
        <v>46</v>
      </c>
      <c r="C94" s="504">
        <v>70587147</v>
      </c>
      <c r="D94" s="504">
        <v>64235423</v>
      </c>
      <c r="E94" s="505">
        <v>76128455</v>
      </c>
      <c r="F94" s="505">
        <f>76128455+652240</f>
        <v>76780695</v>
      </c>
      <c r="G94" s="505">
        <f>76780695+2595000+80625-3120000-136576</f>
        <v>76199744</v>
      </c>
      <c r="H94" s="505">
        <f>76780695+2595000+80625-3120000-136576</f>
        <v>76199744</v>
      </c>
      <c r="I94" s="505">
        <f>76199744+600000-600000+533651+489180-346778-10908+805717+3000000</f>
        <v>80670606</v>
      </c>
      <c r="J94" s="505">
        <f>80670606+600000+548400</f>
        <v>81819006</v>
      </c>
      <c r="K94" s="505">
        <f>80670606+600000+548400</f>
        <v>81819006</v>
      </c>
    </row>
    <row r="95" spans="1:11" ht="16.5" customHeight="1">
      <c r="A95" s="290" t="s">
        <v>96</v>
      </c>
      <c r="B95" s="308" t="s">
        <v>174</v>
      </c>
      <c r="C95" s="506">
        <v>22466345</v>
      </c>
      <c r="D95" s="506">
        <v>19046737</v>
      </c>
      <c r="E95" s="507">
        <v>16384694</v>
      </c>
      <c r="F95" s="507">
        <f>16384694+63592</f>
        <v>16448286</v>
      </c>
      <c r="G95" s="507">
        <f>16448286+506025+27590-608400-30047</f>
        <v>16343454</v>
      </c>
      <c r="H95" s="507">
        <f>16448286+506025+27590-608400-30047</f>
        <v>16343454</v>
      </c>
      <c r="I95" s="507">
        <f>16343454+117000-117000+52030+47694-67622-2400+157115+585000</f>
        <v>17115271</v>
      </c>
      <c r="J95" s="507">
        <f>17115271+106136+106938</f>
        <v>17328345</v>
      </c>
      <c r="K95" s="507">
        <f>17115271+106136+106938</f>
        <v>17328345</v>
      </c>
    </row>
    <row r="96" spans="1:11">
      <c r="A96" s="290" t="s">
        <v>97</v>
      </c>
      <c r="B96" s="308" t="s">
        <v>133</v>
      </c>
      <c r="C96" s="508">
        <v>146998058</v>
      </c>
      <c r="D96" s="508">
        <v>163725894</v>
      </c>
      <c r="E96" s="509">
        <v>213143994</v>
      </c>
      <c r="F96" s="509">
        <f>213143994+635000+101600</f>
        <v>213880594</v>
      </c>
      <c r="G96" s="509">
        <f>213143994+635000+101600+533400+167910+190500+34360+13694572+9032376+6502400+702474+132358+1911775+1441313</f>
        <v>248224032</v>
      </c>
      <c r="H96" s="509">
        <f>213143994+635000+101600+533400+167910+190500+34360+13694572+9032376+6502400+702474+132358+1911775+1441313</f>
        <v>248224032</v>
      </c>
      <c r="I96" s="509">
        <f>213143994+635000+101600+533400+167910+190500+34360+13694572+9032376+6502400+702474+132358+1911775+1441313-175536-375067-121089+7200000+6350000</f>
        <v>261102340</v>
      </c>
      <c r="J96" s="509">
        <f>261102340+306000+21143000+140000+2951480-400000+1056000</f>
        <v>286298820</v>
      </c>
      <c r="K96" s="509">
        <f>261102340+306000+21143000+140000+2951480-400000-230000+1056000</f>
        <v>286068820</v>
      </c>
    </row>
    <row r="97" spans="1:11" s="286" customFormat="1" ht="12" customHeight="1">
      <c r="A97" s="290" t="s">
        <v>98</v>
      </c>
      <c r="B97" s="309" t="s">
        <v>175</v>
      </c>
      <c r="C97" s="508">
        <v>9265469</v>
      </c>
      <c r="D97" s="508">
        <v>8076040</v>
      </c>
      <c r="E97" s="509">
        <v>9710000</v>
      </c>
      <c r="F97" s="509">
        <v>9710000</v>
      </c>
      <c r="G97" s="509">
        <v>9710000</v>
      </c>
      <c r="H97" s="509">
        <v>9710000</v>
      </c>
      <c r="I97" s="509">
        <v>9710000</v>
      </c>
      <c r="J97" s="509">
        <v>9710000</v>
      </c>
      <c r="K97" s="509">
        <v>9710000</v>
      </c>
    </row>
    <row r="98" spans="1:11" ht="12" customHeight="1">
      <c r="A98" s="290" t="s">
        <v>109</v>
      </c>
      <c r="B98" s="310" t="s">
        <v>176</v>
      </c>
      <c r="C98" s="509">
        <f t="shared" ref="C98:I98" si="18">C99+C100+C101+C102+C103+C104+C105+C106+C107+C108+C109+C110</f>
        <v>108833656</v>
      </c>
      <c r="D98" s="509">
        <f t="shared" si="18"/>
        <v>126944521</v>
      </c>
      <c r="E98" s="509">
        <f t="shared" si="18"/>
        <v>151918362</v>
      </c>
      <c r="F98" s="509">
        <f t="shared" si="18"/>
        <v>155906226</v>
      </c>
      <c r="G98" s="509">
        <f t="shared" si="18"/>
        <v>156786215</v>
      </c>
      <c r="H98" s="509">
        <f t="shared" si="18"/>
        <v>159286215</v>
      </c>
      <c r="I98" s="509">
        <f t="shared" si="18"/>
        <v>159286215</v>
      </c>
      <c r="J98" s="509">
        <f>J99+J100+J101+J102+J103+J104+J105+J106+J107+J108+J109+J110</f>
        <v>163043415</v>
      </c>
      <c r="K98" s="509">
        <f>K99+K100+K101+K102+K103+K104+K105+K106+K107+K108+K109+K110</f>
        <v>162465415</v>
      </c>
    </row>
    <row r="99" spans="1:11" ht="12" customHeight="1">
      <c r="A99" s="290" t="s">
        <v>99</v>
      </c>
      <c r="B99" s="308" t="s">
        <v>440</v>
      </c>
      <c r="C99" s="508"/>
      <c r="D99" s="508"/>
      <c r="E99" s="509"/>
      <c r="F99" s="509"/>
      <c r="G99" s="509"/>
      <c r="H99" s="509"/>
      <c r="I99" s="509"/>
      <c r="J99" s="509"/>
      <c r="K99" s="509"/>
    </row>
    <row r="100" spans="1:11" ht="12" customHeight="1">
      <c r="A100" s="290" t="s">
        <v>100</v>
      </c>
      <c r="B100" s="311" t="s">
        <v>439</v>
      </c>
      <c r="C100" s="508"/>
      <c r="D100" s="508"/>
      <c r="E100" s="509"/>
      <c r="F100" s="509"/>
      <c r="G100" s="509"/>
      <c r="H100" s="509"/>
      <c r="I100" s="509"/>
      <c r="J100" s="509"/>
      <c r="K100" s="509"/>
    </row>
    <row r="101" spans="1:11" ht="12" customHeight="1">
      <c r="A101" s="290" t="s">
        <v>110</v>
      </c>
      <c r="B101" s="311" t="s">
        <v>438</v>
      </c>
      <c r="C101" s="508">
        <v>4300930</v>
      </c>
      <c r="D101" s="508">
        <v>532857</v>
      </c>
      <c r="E101" s="509">
        <v>272642</v>
      </c>
      <c r="F101" s="509">
        <v>272642</v>
      </c>
      <c r="G101" s="509">
        <v>272642</v>
      </c>
      <c r="H101" s="509">
        <v>272642</v>
      </c>
      <c r="I101" s="509">
        <v>272642</v>
      </c>
      <c r="J101" s="509">
        <f>272642+400000</f>
        <v>672642</v>
      </c>
      <c r="K101" s="509">
        <f>272642+400000</f>
        <v>672642</v>
      </c>
    </row>
    <row r="102" spans="1:11" ht="12" customHeight="1">
      <c r="A102" s="290" t="s">
        <v>111</v>
      </c>
      <c r="B102" s="312" t="s">
        <v>349</v>
      </c>
      <c r="C102" s="508"/>
      <c r="D102" s="508"/>
      <c r="E102" s="509"/>
      <c r="F102" s="509"/>
      <c r="G102" s="509"/>
      <c r="H102" s="509"/>
      <c r="I102" s="509"/>
      <c r="J102" s="509"/>
      <c r="K102" s="509"/>
    </row>
    <row r="103" spans="1:11" ht="12" customHeight="1">
      <c r="A103" s="290" t="s">
        <v>112</v>
      </c>
      <c r="B103" s="313" t="s">
        <v>350</v>
      </c>
      <c r="C103" s="508"/>
      <c r="D103" s="508"/>
      <c r="E103" s="509"/>
      <c r="F103" s="509"/>
      <c r="G103" s="509"/>
      <c r="H103" s="509"/>
      <c r="I103" s="509"/>
      <c r="J103" s="509"/>
      <c r="K103" s="509"/>
    </row>
    <row r="104" spans="1:11" ht="12" customHeight="1">
      <c r="A104" s="290" t="s">
        <v>113</v>
      </c>
      <c r="B104" s="313" t="s">
        <v>351</v>
      </c>
      <c r="C104" s="508"/>
      <c r="D104" s="508"/>
      <c r="E104" s="509"/>
      <c r="F104" s="509"/>
      <c r="G104" s="509"/>
      <c r="H104" s="509"/>
      <c r="I104" s="509"/>
      <c r="J104" s="509"/>
      <c r="K104" s="509"/>
    </row>
    <row r="105" spans="1:11" ht="12" customHeight="1">
      <c r="A105" s="290" t="s">
        <v>115</v>
      </c>
      <c r="B105" s="312" t="s">
        <v>352</v>
      </c>
      <c r="C105" s="508">
        <v>65369665</v>
      </c>
      <c r="D105" s="508">
        <v>91044964</v>
      </c>
      <c r="E105" s="509">
        <v>112674020</v>
      </c>
      <c r="F105" s="509">
        <f>112674020+3987864</f>
        <v>116661884</v>
      </c>
      <c r="G105" s="509">
        <f>112674020+3987864+1224473-374484</f>
        <v>117511873</v>
      </c>
      <c r="H105" s="509">
        <f>112674020+3987864+1224473-374484</f>
        <v>117511873</v>
      </c>
      <c r="I105" s="509">
        <f>112674020+3987864+1224473-374484</f>
        <v>117511873</v>
      </c>
      <c r="J105" s="509">
        <f>117511873+100000+3207200</f>
        <v>120819073</v>
      </c>
      <c r="K105" s="509">
        <f>117511873+100000+3207200-95000</f>
        <v>120724073</v>
      </c>
    </row>
    <row r="106" spans="1:11" ht="12" customHeight="1">
      <c r="A106" s="290" t="s">
        <v>177</v>
      </c>
      <c r="B106" s="312" t="s">
        <v>353</v>
      </c>
      <c r="C106" s="508"/>
      <c r="D106" s="508"/>
      <c r="E106" s="509"/>
      <c r="F106" s="509"/>
      <c r="G106" s="509"/>
      <c r="H106" s="509"/>
      <c r="I106" s="509"/>
      <c r="J106" s="509"/>
      <c r="K106" s="509"/>
    </row>
    <row r="107" spans="1:11" ht="12" customHeight="1">
      <c r="A107" s="290" t="s">
        <v>347</v>
      </c>
      <c r="B107" s="313" t="s">
        <v>354</v>
      </c>
      <c r="C107" s="508"/>
      <c r="D107" s="508"/>
      <c r="E107" s="509"/>
      <c r="F107" s="509"/>
      <c r="G107" s="509"/>
      <c r="H107" s="509"/>
      <c r="I107" s="509"/>
      <c r="J107" s="509"/>
      <c r="K107" s="509"/>
    </row>
    <row r="108" spans="1:11" ht="12" customHeight="1">
      <c r="A108" s="314" t="s">
        <v>348</v>
      </c>
      <c r="B108" s="311" t="s">
        <v>355</v>
      </c>
      <c r="C108" s="508"/>
      <c r="D108" s="508"/>
      <c r="E108" s="509"/>
      <c r="F108" s="509"/>
      <c r="G108" s="509"/>
      <c r="H108" s="509"/>
      <c r="I108" s="509"/>
      <c r="J108" s="509"/>
      <c r="K108" s="509"/>
    </row>
    <row r="109" spans="1:11" ht="12" customHeight="1">
      <c r="A109" s="290" t="s">
        <v>436</v>
      </c>
      <c r="B109" s="311" t="s">
        <v>356</v>
      </c>
      <c r="C109" s="508"/>
      <c r="D109" s="508"/>
      <c r="E109" s="509"/>
      <c r="F109" s="509"/>
      <c r="G109" s="509"/>
      <c r="H109" s="509"/>
      <c r="I109" s="509"/>
      <c r="J109" s="509"/>
      <c r="K109" s="509"/>
    </row>
    <row r="110" spans="1:11" ht="12" customHeight="1">
      <c r="A110" s="292" t="s">
        <v>437</v>
      </c>
      <c r="B110" s="311" t="s">
        <v>357</v>
      </c>
      <c r="C110" s="508">
        <v>39163061</v>
      </c>
      <c r="D110" s="508">
        <v>35366700</v>
      </c>
      <c r="E110" s="509">
        <v>38971700</v>
      </c>
      <c r="F110" s="509">
        <v>38971700</v>
      </c>
      <c r="G110" s="509">
        <f>38971700+30000</f>
        <v>39001700</v>
      </c>
      <c r="H110" s="509">
        <f>38971700+30000+2500000</f>
        <v>41501700</v>
      </c>
      <c r="I110" s="509">
        <f>38971700+30000+2500000</f>
        <v>41501700</v>
      </c>
      <c r="J110" s="509">
        <f>38971700+30000+2500000+50000</f>
        <v>41551700</v>
      </c>
      <c r="K110" s="509">
        <f>38971700+30000+2500000+50000-578000+95000</f>
        <v>41068700</v>
      </c>
    </row>
    <row r="111" spans="1:11" ht="12" customHeight="1">
      <c r="A111" s="290" t="s">
        <v>441</v>
      </c>
      <c r="B111" s="309" t="s">
        <v>47</v>
      </c>
      <c r="C111" s="506"/>
      <c r="D111" s="506"/>
      <c r="E111" s="507">
        <f t="shared" ref="E111:J111" si="19">E112+E114</f>
        <v>73618052</v>
      </c>
      <c r="F111" s="507">
        <f t="shared" si="19"/>
        <v>72374870</v>
      </c>
      <c r="G111" s="507">
        <f t="shared" si="19"/>
        <v>44990683</v>
      </c>
      <c r="H111" s="507">
        <f t="shared" si="19"/>
        <v>44990683</v>
      </c>
      <c r="I111" s="507">
        <f t="shared" si="19"/>
        <v>62140267</v>
      </c>
      <c r="J111" s="507">
        <f t="shared" si="19"/>
        <v>54108257</v>
      </c>
      <c r="K111" s="507">
        <f>K112+K114</f>
        <v>68167697</v>
      </c>
    </row>
    <row r="112" spans="1:11" ht="12" customHeight="1">
      <c r="A112" s="290" t="s">
        <v>442</v>
      </c>
      <c r="B112" s="308" t="s">
        <v>444</v>
      </c>
      <c r="C112" s="506"/>
      <c r="D112" s="506"/>
      <c r="E112" s="507">
        <v>44412474</v>
      </c>
      <c r="F112" s="507">
        <f>44412474+105000+78540+119640+280587+241524+1919391-3987864</f>
        <v>43169292</v>
      </c>
      <c r="G112" s="507">
        <f>43169292-5717922+82824-350000-152000+187376+293730-1919391-1224473-1000000-3101025-2814800+374484-6055530+782302-8986168-190500-1600000-142575-249000-150000-2774000-5000000+5450000-3086614-597073-30000</f>
        <v>5198937</v>
      </c>
      <c r="H112" s="507">
        <f>43169292-5717922+82824-350000-152000+187376+293730-1919391-1224473-1000000-3101025-2814800+374484-6055530+782302-8986168-190500-1600000-142575-249000-150000-2774000-5000000+5450000-3086614-597073-30000</f>
        <v>5198937</v>
      </c>
      <c r="I112" s="507">
        <f>5198937+37000+75000+290000+962832-962832-717000+717000+585071+281066+33770000-7200000+9574+344120-6350000-1075500-10000000-3585000+18253-50000</f>
        <v>12348521</v>
      </c>
      <c r="J112" s="507">
        <f>12348521+37000-26672-100000+226143+291818+15000+130000+191640+1370000+18000000+92490+145909-50000-655338</f>
        <v>32016511</v>
      </c>
      <c r="K112" s="507">
        <f>12348521+37000-26672-100000+226143+291818+15000+191640+1370000+18000000+92490+145909-50000-655338+92494+173484+51252-141100+518310+255000+6924000+300000+6016000</f>
        <v>46075951</v>
      </c>
    </row>
    <row r="113" spans="1:11" ht="12" customHeight="1">
      <c r="A113" s="292"/>
      <c r="B113" s="319" t="s">
        <v>748</v>
      </c>
      <c r="C113" s="508"/>
      <c r="D113" s="508"/>
      <c r="E113" s="509"/>
      <c r="F113" s="509"/>
      <c r="G113" s="509">
        <v>172212</v>
      </c>
      <c r="H113" s="509">
        <v>172212</v>
      </c>
      <c r="I113" s="509">
        <v>172212</v>
      </c>
      <c r="J113" s="509">
        <v>172212</v>
      </c>
      <c r="K113" s="509">
        <v>172212</v>
      </c>
    </row>
    <row r="114" spans="1:11" ht="12" customHeight="1" thickBot="1">
      <c r="A114" s="315" t="s">
        <v>443</v>
      </c>
      <c r="B114" s="316" t="s">
        <v>445</v>
      </c>
      <c r="C114" s="510"/>
      <c r="D114" s="510"/>
      <c r="E114" s="511">
        <v>29205578</v>
      </c>
      <c r="F114" s="511">
        <v>29205578</v>
      </c>
      <c r="G114" s="511">
        <f>29205578+8986168+1600000</f>
        <v>39791746</v>
      </c>
      <c r="H114" s="511">
        <f>29205578+8986168+1600000</f>
        <v>39791746</v>
      </c>
      <c r="I114" s="511">
        <f>29205578+8986168+1600000+10000000</f>
        <v>49791746</v>
      </c>
      <c r="J114" s="511">
        <f>49791746-27700000</f>
        <v>22091746</v>
      </c>
      <c r="K114" s="511">
        <f>49791746-27700000</f>
        <v>22091746</v>
      </c>
    </row>
    <row r="115" spans="1:11" ht="12" customHeight="1" thickBot="1">
      <c r="A115" s="317" t="s">
        <v>17</v>
      </c>
      <c r="B115" s="318" t="s">
        <v>661</v>
      </c>
      <c r="C115" s="512">
        <f t="shared" ref="C115:I115" si="20">+C116+C118+C120</f>
        <v>54127490</v>
      </c>
      <c r="D115" s="512">
        <f t="shared" si="20"/>
        <v>100926591</v>
      </c>
      <c r="E115" s="513">
        <f t="shared" si="20"/>
        <v>512825959</v>
      </c>
      <c r="F115" s="513">
        <f t="shared" si="20"/>
        <v>512089359</v>
      </c>
      <c r="G115" s="513">
        <f t="shared" si="20"/>
        <v>511379474</v>
      </c>
      <c r="H115" s="513">
        <f t="shared" si="20"/>
        <v>511379474</v>
      </c>
      <c r="I115" s="513">
        <f t="shared" si="20"/>
        <v>511429474</v>
      </c>
      <c r="J115" s="513">
        <f>+J116+J118+J120</f>
        <v>518379874</v>
      </c>
      <c r="K115" s="513">
        <f>+K116+K118+K120</f>
        <v>519187874</v>
      </c>
    </row>
    <row r="116" spans="1:11" ht="12" customHeight="1">
      <c r="A116" s="289" t="s">
        <v>101</v>
      </c>
      <c r="B116" s="308" t="s">
        <v>219</v>
      </c>
      <c r="C116" s="514">
        <v>42361031</v>
      </c>
      <c r="D116" s="514">
        <v>77599166</v>
      </c>
      <c r="E116" s="515">
        <v>369875414</v>
      </c>
      <c r="F116" s="515">
        <f>369875414-635000-101600</f>
        <v>369138814</v>
      </c>
      <c r="G116" s="515">
        <f>369875414-635000-101600+1000000-76200-13694572-6566274+9196991-1399405+6779509-946684-2746211-1911775-1441313</f>
        <v>357332880</v>
      </c>
      <c r="H116" s="515">
        <f>369875414-635000-101600+1000000-76200-13694572-6566274+9196991-1399405+6779509-946684-2746211-1911775-1441313</f>
        <v>357332880</v>
      </c>
      <c r="I116" s="515">
        <f>369875414-635000-101600+1000000-76200-13694572-6566274+9196991-1399405+6779509-946684-2746211-1911775-1441313</f>
        <v>357332880</v>
      </c>
      <c r="J116" s="515">
        <f>357332880+533400</f>
        <v>357866280</v>
      </c>
      <c r="K116" s="515">
        <f>357332880+533400</f>
        <v>357866280</v>
      </c>
    </row>
    <row r="117" spans="1:11">
      <c r="A117" s="289" t="s">
        <v>102</v>
      </c>
      <c r="B117" s="319" t="s">
        <v>361</v>
      </c>
      <c r="C117" s="514"/>
      <c r="D117" s="514"/>
      <c r="E117" s="515"/>
      <c r="F117" s="515"/>
      <c r="G117" s="515"/>
      <c r="H117" s="515"/>
      <c r="I117" s="515"/>
      <c r="J117" s="515"/>
      <c r="K117" s="515"/>
    </row>
    <row r="118" spans="1:11" ht="12" customHeight="1">
      <c r="A118" s="289" t="s">
        <v>103</v>
      </c>
      <c r="B118" s="319" t="s">
        <v>178</v>
      </c>
      <c r="C118" s="506">
        <v>5850626</v>
      </c>
      <c r="D118" s="506">
        <v>20074425</v>
      </c>
      <c r="E118" s="507">
        <v>142950545</v>
      </c>
      <c r="F118" s="507">
        <v>142950545</v>
      </c>
      <c r="G118" s="507">
        <f>142950545+5717922+76200-9032376+13737230+597073</f>
        <v>154046594</v>
      </c>
      <c r="H118" s="507">
        <f>142950545+5717922+76200-9032376+13737230+597073</f>
        <v>154046594</v>
      </c>
      <c r="I118" s="507">
        <f>142950545+5717922+76200-9032376+13737230+597073</f>
        <v>154046594</v>
      </c>
      <c r="J118" s="507">
        <f>154046594+27700000-21143000-140000</f>
        <v>160463594</v>
      </c>
      <c r="K118" s="507">
        <f>154046594+27700000-21143000-140000+230000</f>
        <v>160693594</v>
      </c>
    </row>
    <row r="119" spans="1:11" ht="12" customHeight="1">
      <c r="A119" s="289" t="s">
        <v>104</v>
      </c>
      <c r="B119" s="319" t="s">
        <v>362</v>
      </c>
      <c r="C119" s="506"/>
      <c r="D119" s="506"/>
      <c r="E119" s="516"/>
      <c r="F119" s="516"/>
      <c r="G119" s="516"/>
      <c r="H119" s="516"/>
      <c r="I119" s="516"/>
      <c r="J119" s="516"/>
      <c r="K119" s="516"/>
    </row>
    <row r="120" spans="1:11" ht="12" customHeight="1">
      <c r="A120" s="289" t="s">
        <v>105</v>
      </c>
      <c r="B120" s="293" t="s">
        <v>222</v>
      </c>
      <c r="C120" s="516">
        <f t="shared" ref="C120:I120" si="21">C121+C122+C123+C124+C125+C126+C127+C128</f>
        <v>5915833</v>
      </c>
      <c r="D120" s="516">
        <f t="shared" si="21"/>
        <v>3253000</v>
      </c>
      <c r="E120" s="516">
        <f t="shared" si="21"/>
        <v>0</v>
      </c>
      <c r="F120" s="516">
        <f t="shared" si="21"/>
        <v>0</v>
      </c>
      <c r="G120" s="516">
        <f t="shared" si="21"/>
        <v>0</v>
      </c>
      <c r="H120" s="516">
        <f t="shared" si="21"/>
        <v>0</v>
      </c>
      <c r="I120" s="516">
        <f t="shared" si="21"/>
        <v>50000</v>
      </c>
      <c r="J120" s="516">
        <f>J121+J122+J123+J124+J125+J126+J127+J128</f>
        <v>50000</v>
      </c>
      <c r="K120" s="516">
        <f>K121+K122+K123+K124+K125+K126+K127+K128</f>
        <v>628000</v>
      </c>
    </row>
    <row r="121" spans="1:11" ht="12" customHeight="1">
      <c r="A121" s="289" t="s">
        <v>114</v>
      </c>
      <c r="B121" s="291" t="s">
        <v>424</v>
      </c>
      <c r="C121" s="506"/>
      <c r="D121" s="506"/>
      <c r="E121" s="516"/>
      <c r="F121" s="516"/>
      <c r="G121" s="516"/>
      <c r="H121" s="516"/>
      <c r="I121" s="516"/>
      <c r="J121" s="516"/>
      <c r="K121" s="516"/>
    </row>
    <row r="122" spans="1:11" ht="12" customHeight="1">
      <c r="A122" s="289" t="s">
        <v>116</v>
      </c>
      <c r="B122" s="320" t="s">
        <v>367</v>
      </c>
      <c r="C122" s="506"/>
      <c r="D122" s="506"/>
      <c r="E122" s="516"/>
      <c r="F122" s="516"/>
      <c r="G122" s="516"/>
      <c r="H122" s="516"/>
      <c r="I122" s="516"/>
      <c r="J122" s="516"/>
      <c r="K122" s="516"/>
    </row>
    <row r="123" spans="1:11" ht="12" customHeight="1">
      <c r="A123" s="289" t="s">
        <v>179</v>
      </c>
      <c r="B123" s="313" t="s">
        <v>351</v>
      </c>
      <c r="C123" s="506"/>
      <c r="D123" s="506"/>
      <c r="E123" s="516"/>
      <c r="F123" s="516"/>
      <c r="G123" s="516"/>
      <c r="H123" s="516"/>
      <c r="I123" s="516"/>
      <c r="J123" s="516"/>
      <c r="K123" s="516"/>
    </row>
    <row r="124" spans="1:11" ht="12" customHeight="1">
      <c r="A124" s="289" t="s">
        <v>180</v>
      </c>
      <c r="B124" s="313" t="s">
        <v>366</v>
      </c>
      <c r="C124" s="506"/>
      <c r="D124" s="506"/>
      <c r="E124" s="516"/>
      <c r="F124" s="516"/>
      <c r="G124" s="516"/>
      <c r="H124" s="516"/>
      <c r="I124" s="516"/>
      <c r="J124" s="516"/>
      <c r="K124" s="516"/>
    </row>
    <row r="125" spans="1:11" ht="12" customHeight="1">
      <c r="A125" s="289" t="s">
        <v>181</v>
      </c>
      <c r="B125" s="313" t="s">
        <v>365</v>
      </c>
      <c r="C125" s="506"/>
      <c r="D125" s="506"/>
      <c r="E125" s="516"/>
      <c r="F125" s="516"/>
      <c r="G125" s="516"/>
      <c r="H125" s="516"/>
      <c r="I125" s="516"/>
      <c r="J125" s="516"/>
      <c r="K125" s="516"/>
    </row>
    <row r="126" spans="1:11" ht="12" customHeight="1">
      <c r="A126" s="289" t="s">
        <v>358</v>
      </c>
      <c r="B126" s="313" t="s">
        <v>354</v>
      </c>
      <c r="C126" s="506"/>
      <c r="D126" s="506"/>
      <c r="E126" s="516"/>
      <c r="F126" s="516"/>
      <c r="G126" s="516"/>
      <c r="H126" s="516"/>
      <c r="I126" s="516"/>
      <c r="J126" s="516"/>
      <c r="K126" s="516"/>
    </row>
    <row r="127" spans="1:11" ht="12" customHeight="1">
      <c r="A127" s="289" t="s">
        <v>359</v>
      </c>
      <c r="B127" s="313" t="s">
        <v>364</v>
      </c>
      <c r="C127" s="506">
        <v>400000</v>
      </c>
      <c r="D127" s="506"/>
      <c r="E127" s="516">
        <f t="shared" ref="E127:K127" si="22">2000000-2000000</f>
        <v>0</v>
      </c>
      <c r="F127" s="516">
        <f t="shared" si="22"/>
        <v>0</v>
      </c>
      <c r="G127" s="516">
        <f t="shared" si="22"/>
        <v>0</v>
      </c>
      <c r="H127" s="516">
        <f t="shared" si="22"/>
        <v>0</v>
      </c>
      <c r="I127" s="516">
        <f t="shared" si="22"/>
        <v>0</v>
      </c>
      <c r="J127" s="516">
        <f t="shared" si="22"/>
        <v>0</v>
      </c>
      <c r="K127" s="516">
        <f t="shared" si="22"/>
        <v>0</v>
      </c>
    </row>
    <row r="128" spans="1:11" ht="12" customHeight="1" thickBot="1">
      <c r="A128" s="314" t="s">
        <v>360</v>
      </c>
      <c r="B128" s="313" t="s">
        <v>363</v>
      </c>
      <c r="C128" s="508">
        <v>5515833</v>
      </c>
      <c r="D128" s="508">
        <v>3253000</v>
      </c>
      <c r="E128" s="517"/>
      <c r="F128" s="517"/>
      <c r="G128" s="517"/>
      <c r="H128" s="517"/>
      <c r="I128" s="517">
        <v>50000</v>
      </c>
      <c r="J128" s="517">
        <v>50000</v>
      </c>
      <c r="K128" s="517">
        <f>50000+578000</f>
        <v>628000</v>
      </c>
    </row>
    <row r="129" spans="1:11" ht="12" customHeight="1" thickBot="1">
      <c r="A129" s="287" t="s">
        <v>18</v>
      </c>
      <c r="B129" s="321" t="s">
        <v>446</v>
      </c>
      <c r="C129" s="518">
        <f t="shared" ref="C129:H129" si="23">+C93+C115</f>
        <v>412278165</v>
      </c>
      <c r="D129" s="518">
        <f t="shared" si="23"/>
        <v>482955206</v>
      </c>
      <c r="E129" s="519">
        <f t="shared" si="23"/>
        <v>1053729516</v>
      </c>
      <c r="F129" s="519">
        <f t="shared" si="23"/>
        <v>1057190030</v>
      </c>
      <c r="G129" s="519">
        <f t="shared" si="23"/>
        <v>1063633602</v>
      </c>
      <c r="H129" s="519">
        <f t="shared" si="23"/>
        <v>1066133602</v>
      </c>
      <c r="I129" s="519">
        <f>+I93+I115</f>
        <v>1101454173</v>
      </c>
      <c r="J129" s="519">
        <f>+J93+J115</f>
        <v>1130687717</v>
      </c>
      <c r="K129" s="519">
        <f>+K93+K115</f>
        <v>1144747157</v>
      </c>
    </row>
    <row r="130" spans="1:11" ht="12" customHeight="1" thickBot="1">
      <c r="A130" s="287" t="s">
        <v>19</v>
      </c>
      <c r="B130" s="321" t="s">
        <v>447</v>
      </c>
      <c r="C130" s="518">
        <f t="shared" ref="C130:I130" si="24">+C131+C132+C133</f>
        <v>0</v>
      </c>
      <c r="D130" s="518">
        <f t="shared" si="24"/>
        <v>0</v>
      </c>
      <c r="E130" s="519">
        <f t="shared" si="24"/>
        <v>0</v>
      </c>
      <c r="F130" s="519">
        <f t="shared" si="24"/>
        <v>0</v>
      </c>
      <c r="G130" s="519">
        <f t="shared" si="24"/>
        <v>0</v>
      </c>
      <c r="H130" s="519">
        <f t="shared" si="24"/>
        <v>0</v>
      </c>
      <c r="I130" s="519">
        <f t="shared" si="24"/>
        <v>0</v>
      </c>
      <c r="J130" s="519">
        <f>+J131+J132+J133</f>
        <v>0</v>
      </c>
      <c r="K130" s="519">
        <f>+K131+K132+K133</f>
        <v>0</v>
      </c>
    </row>
    <row r="131" spans="1:11" ht="12" customHeight="1">
      <c r="A131" s="289" t="s">
        <v>259</v>
      </c>
      <c r="B131" s="319" t="s">
        <v>454</v>
      </c>
      <c r="C131" s="506"/>
      <c r="D131" s="506"/>
      <c r="E131" s="516"/>
      <c r="F131" s="516"/>
      <c r="G131" s="516"/>
      <c r="H131" s="516"/>
      <c r="I131" s="516"/>
      <c r="J131" s="516"/>
      <c r="K131" s="516"/>
    </row>
    <row r="132" spans="1:11" ht="12" customHeight="1">
      <c r="A132" s="289" t="s">
        <v>262</v>
      </c>
      <c r="B132" s="319" t="s">
        <v>455</v>
      </c>
      <c r="C132" s="506"/>
      <c r="D132" s="506"/>
      <c r="E132" s="516"/>
      <c r="F132" s="516"/>
      <c r="G132" s="516"/>
      <c r="H132" s="516"/>
      <c r="I132" s="516"/>
      <c r="J132" s="516"/>
      <c r="K132" s="516"/>
    </row>
    <row r="133" spans="1:11" ht="12" customHeight="1" thickBot="1">
      <c r="A133" s="314" t="s">
        <v>263</v>
      </c>
      <c r="B133" s="319" t="s">
        <v>456</v>
      </c>
      <c r="C133" s="506"/>
      <c r="D133" s="506"/>
      <c r="E133" s="516"/>
      <c r="F133" s="516"/>
      <c r="G133" s="516"/>
      <c r="H133" s="516"/>
      <c r="I133" s="516"/>
      <c r="J133" s="516"/>
      <c r="K133" s="516"/>
    </row>
    <row r="134" spans="1:11" ht="12" customHeight="1" thickBot="1">
      <c r="A134" s="287" t="s">
        <v>20</v>
      </c>
      <c r="B134" s="321" t="s">
        <v>448</v>
      </c>
      <c r="C134" s="518">
        <f t="shared" ref="C134:I134" si="25">SUM(C135:C140)</f>
        <v>0</v>
      </c>
      <c r="D134" s="518">
        <f t="shared" si="25"/>
        <v>0</v>
      </c>
      <c r="E134" s="519">
        <f t="shared" si="25"/>
        <v>0</v>
      </c>
      <c r="F134" s="519">
        <f t="shared" si="25"/>
        <v>0</v>
      </c>
      <c r="G134" s="519">
        <f t="shared" si="25"/>
        <v>0</v>
      </c>
      <c r="H134" s="519">
        <f t="shared" si="25"/>
        <v>0</v>
      </c>
      <c r="I134" s="519">
        <f t="shared" si="25"/>
        <v>0</v>
      </c>
      <c r="J134" s="519">
        <f>SUM(J135:J140)</f>
        <v>0</v>
      </c>
      <c r="K134" s="519">
        <f>SUM(K135:K140)</f>
        <v>0</v>
      </c>
    </row>
    <row r="135" spans="1:11" ht="12" customHeight="1">
      <c r="A135" s="289" t="s">
        <v>88</v>
      </c>
      <c r="B135" s="322" t="s">
        <v>457</v>
      </c>
      <c r="C135" s="506"/>
      <c r="D135" s="506"/>
      <c r="E135" s="516"/>
      <c r="F135" s="516"/>
      <c r="G135" s="516"/>
      <c r="H135" s="516"/>
      <c r="I135" s="516"/>
      <c r="J135" s="516"/>
      <c r="K135" s="516"/>
    </row>
    <row r="136" spans="1:11" ht="12" customHeight="1">
      <c r="A136" s="289" t="s">
        <v>89</v>
      </c>
      <c r="B136" s="322" t="s">
        <v>449</v>
      </c>
      <c r="C136" s="506"/>
      <c r="D136" s="506"/>
      <c r="E136" s="516"/>
      <c r="F136" s="516"/>
      <c r="G136" s="516"/>
      <c r="H136" s="516"/>
      <c r="I136" s="516"/>
      <c r="J136" s="516"/>
      <c r="K136" s="516"/>
    </row>
    <row r="137" spans="1:11" ht="12" customHeight="1">
      <c r="A137" s="289" t="s">
        <v>90</v>
      </c>
      <c r="B137" s="322" t="s">
        <v>450</v>
      </c>
      <c r="C137" s="506"/>
      <c r="D137" s="506"/>
      <c r="E137" s="516"/>
      <c r="F137" s="516"/>
      <c r="G137" s="516"/>
      <c r="H137" s="516"/>
      <c r="I137" s="516"/>
      <c r="J137" s="516"/>
      <c r="K137" s="516"/>
    </row>
    <row r="138" spans="1:11" ht="12" customHeight="1">
      <c r="A138" s="289" t="s">
        <v>166</v>
      </c>
      <c r="B138" s="322" t="s">
        <v>451</v>
      </c>
      <c r="C138" s="506"/>
      <c r="D138" s="506"/>
      <c r="E138" s="516"/>
      <c r="F138" s="516"/>
      <c r="G138" s="516"/>
      <c r="H138" s="516"/>
      <c r="I138" s="516"/>
      <c r="J138" s="516"/>
      <c r="K138" s="516"/>
    </row>
    <row r="139" spans="1:11" ht="12" customHeight="1">
      <c r="A139" s="289" t="s">
        <v>167</v>
      </c>
      <c r="B139" s="322" t="s">
        <v>452</v>
      </c>
      <c r="C139" s="506"/>
      <c r="D139" s="506"/>
      <c r="E139" s="516"/>
      <c r="F139" s="516"/>
      <c r="G139" s="516"/>
      <c r="H139" s="516"/>
      <c r="I139" s="516"/>
      <c r="J139" s="516"/>
      <c r="K139" s="516"/>
    </row>
    <row r="140" spans="1:11" ht="12" customHeight="1" thickBot="1">
      <c r="A140" s="314" t="s">
        <v>168</v>
      </c>
      <c r="B140" s="322" t="s">
        <v>453</v>
      </c>
      <c r="C140" s="506"/>
      <c r="D140" s="506"/>
      <c r="E140" s="516"/>
      <c r="F140" s="516"/>
      <c r="G140" s="516"/>
      <c r="H140" s="516"/>
      <c r="I140" s="516"/>
      <c r="J140" s="516"/>
      <c r="K140" s="516"/>
    </row>
    <row r="141" spans="1:11" ht="12" customHeight="1" thickBot="1">
      <c r="A141" s="287" t="s">
        <v>21</v>
      </c>
      <c r="B141" s="321" t="s">
        <v>461</v>
      </c>
      <c r="C141" s="520">
        <f t="shared" ref="C141:I141" si="26">+C142+C143+C144+C145</f>
        <v>8111444</v>
      </c>
      <c r="D141" s="520">
        <f t="shared" si="26"/>
        <v>8090229</v>
      </c>
      <c r="E141" s="521">
        <f t="shared" si="26"/>
        <v>7960578</v>
      </c>
      <c r="F141" s="521">
        <f t="shared" si="26"/>
        <v>8033142</v>
      </c>
      <c r="G141" s="521">
        <f t="shared" si="26"/>
        <v>8033142</v>
      </c>
      <c r="H141" s="521">
        <f t="shared" si="26"/>
        <v>8033142</v>
      </c>
      <c r="I141" s="521">
        <f t="shared" si="26"/>
        <v>8033142</v>
      </c>
      <c r="J141" s="521">
        <f>+J142+J143+J144+J145</f>
        <v>8033142</v>
      </c>
      <c r="K141" s="521">
        <f>+K142+K143+K144+K145</f>
        <v>16140862</v>
      </c>
    </row>
    <row r="142" spans="1:11" ht="12" customHeight="1">
      <c r="A142" s="289" t="s">
        <v>91</v>
      </c>
      <c r="B142" s="322" t="s">
        <v>368</v>
      </c>
      <c r="C142" s="506"/>
      <c r="D142" s="506"/>
      <c r="E142" s="516"/>
      <c r="F142" s="516"/>
      <c r="G142" s="516"/>
      <c r="H142" s="516"/>
      <c r="I142" s="516"/>
      <c r="J142" s="516"/>
      <c r="K142" s="516"/>
    </row>
    <row r="143" spans="1:11" ht="12" customHeight="1">
      <c r="A143" s="289" t="s">
        <v>92</v>
      </c>
      <c r="B143" s="322" t="s">
        <v>369</v>
      </c>
      <c r="C143" s="506">
        <v>8111444</v>
      </c>
      <c r="D143" s="506">
        <v>8090229</v>
      </c>
      <c r="E143" s="516">
        <v>7960578</v>
      </c>
      <c r="F143" s="516">
        <f>7960578+72564</f>
        <v>8033142</v>
      </c>
      <c r="G143" s="516">
        <f>7960578+72564</f>
        <v>8033142</v>
      </c>
      <c r="H143" s="516">
        <f>7960578+72564</f>
        <v>8033142</v>
      </c>
      <c r="I143" s="516">
        <f>7960578+72564</f>
        <v>8033142</v>
      </c>
      <c r="J143" s="516">
        <f>7960578+72564</f>
        <v>8033142</v>
      </c>
      <c r="K143" s="516">
        <f>7960578+72564+8107720</f>
        <v>16140862</v>
      </c>
    </row>
    <row r="144" spans="1:11" ht="12" customHeight="1">
      <c r="A144" s="289" t="s">
        <v>283</v>
      </c>
      <c r="B144" s="322" t="s">
        <v>462</v>
      </c>
      <c r="C144" s="506"/>
      <c r="D144" s="506"/>
      <c r="E144" s="516"/>
      <c r="F144" s="516"/>
      <c r="G144" s="516"/>
      <c r="H144" s="516"/>
      <c r="I144" s="516"/>
      <c r="J144" s="516"/>
      <c r="K144" s="516"/>
    </row>
    <row r="145" spans="1:11" ht="12" customHeight="1" thickBot="1">
      <c r="A145" s="314" t="s">
        <v>284</v>
      </c>
      <c r="B145" s="323" t="s">
        <v>388</v>
      </c>
      <c r="C145" s="506"/>
      <c r="D145" s="506"/>
      <c r="E145" s="516"/>
      <c r="F145" s="516"/>
      <c r="G145" s="516"/>
      <c r="H145" s="516"/>
      <c r="I145" s="516"/>
      <c r="J145" s="516"/>
      <c r="K145" s="516"/>
    </row>
    <row r="146" spans="1:11" ht="12" customHeight="1" thickBot="1">
      <c r="A146" s="287" t="s">
        <v>22</v>
      </c>
      <c r="B146" s="321" t="s">
        <v>463</v>
      </c>
      <c r="C146" s="522">
        <f t="shared" ref="C146:I146" si="27">SUM(C147:C151)</f>
        <v>0</v>
      </c>
      <c r="D146" s="522">
        <f t="shared" si="27"/>
        <v>0</v>
      </c>
      <c r="E146" s="523">
        <f t="shared" si="27"/>
        <v>0</v>
      </c>
      <c r="F146" s="523">
        <f t="shared" si="27"/>
        <v>0</v>
      </c>
      <c r="G146" s="523">
        <f t="shared" si="27"/>
        <v>0</v>
      </c>
      <c r="H146" s="523">
        <f t="shared" si="27"/>
        <v>0</v>
      </c>
      <c r="I146" s="523">
        <f t="shared" si="27"/>
        <v>0</v>
      </c>
      <c r="J146" s="523">
        <f>SUM(J147:J151)</f>
        <v>0</v>
      </c>
      <c r="K146" s="523">
        <f>SUM(K147:K151)</f>
        <v>0</v>
      </c>
    </row>
    <row r="147" spans="1:11" ht="12" customHeight="1">
      <c r="A147" s="289" t="s">
        <v>93</v>
      </c>
      <c r="B147" s="322" t="s">
        <v>458</v>
      </c>
      <c r="C147" s="506"/>
      <c r="D147" s="506"/>
      <c r="E147" s="516"/>
      <c r="F147" s="516"/>
      <c r="G147" s="516"/>
      <c r="H147" s="516"/>
      <c r="I147" s="516"/>
      <c r="J147" s="516"/>
      <c r="K147" s="516"/>
    </row>
    <row r="148" spans="1:11" ht="12" customHeight="1">
      <c r="A148" s="289" t="s">
        <v>94</v>
      </c>
      <c r="B148" s="322" t="s">
        <v>465</v>
      </c>
      <c r="C148" s="506"/>
      <c r="D148" s="506"/>
      <c r="E148" s="516"/>
      <c r="F148" s="516"/>
      <c r="G148" s="516"/>
      <c r="H148" s="516"/>
      <c r="I148" s="516"/>
      <c r="J148" s="516"/>
      <c r="K148" s="516"/>
    </row>
    <row r="149" spans="1:11" ht="12" customHeight="1">
      <c r="A149" s="289" t="s">
        <v>295</v>
      </c>
      <c r="B149" s="322" t="s">
        <v>460</v>
      </c>
      <c r="C149" s="506"/>
      <c r="D149" s="506"/>
      <c r="E149" s="516"/>
      <c r="F149" s="516"/>
      <c r="G149" s="516"/>
      <c r="H149" s="516"/>
      <c r="I149" s="516"/>
      <c r="J149" s="516"/>
      <c r="K149" s="516"/>
    </row>
    <row r="150" spans="1:11" ht="12" customHeight="1">
      <c r="A150" s="289" t="s">
        <v>296</v>
      </c>
      <c r="B150" s="322" t="s">
        <v>466</v>
      </c>
      <c r="C150" s="506"/>
      <c r="D150" s="506"/>
      <c r="E150" s="516"/>
      <c r="F150" s="516"/>
      <c r="G150" s="516"/>
      <c r="H150" s="516"/>
      <c r="I150" s="516"/>
      <c r="J150" s="516"/>
      <c r="K150" s="516"/>
    </row>
    <row r="151" spans="1:11" ht="12" customHeight="1" thickBot="1">
      <c r="A151" s="289" t="s">
        <v>464</v>
      </c>
      <c r="B151" s="322" t="s">
        <v>467</v>
      </c>
      <c r="C151" s="506"/>
      <c r="D151" s="506"/>
      <c r="E151" s="516"/>
      <c r="F151" s="516"/>
      <c r="G151" s="516"/>
      <c r="H151" s="516"/>
      <c r="I151" s="516"/>
      <c r="J151" s="516"/>
      <c r="K151" s="516"/>
    </row>
    <row r="152" spans="1:11" ht="12" customHeight="1" thickBot="1">
      <c r="A152" s="287" t="s">
        <v>23</v>
      </c>
      <c r="B152" s="321" t="s">
        <v>468</v>
      </c>
      <c r="C152" s="524"/>
      <c r="D152" s="524"/>
      <c r="E152" s="525"/>
      <c r="F152" s="525"/>
      <c r="G152" s="525"/>
      <c r="H152" s="525"/>
      <c r="I152" s="525"/>
      <c r="J152" s="525"/>
      <c r="K152" s="525"/>
    </row>
    <row r="153" spans="1:11" ht="12" customHeight="1" thickBot="1">
      <c r="A153" s="287" t="s">
        <v>24</v>
      </c>
      <c r="B153" s="321" t="s">
        <v>579</v>
      </c>
      <c r="C153" s="524">
        <v>136629973</v>
      </c>
      <c r="D153" s="524">
        <v>141018244</v>
      </c>
      <c r="E153" s="525">
        <v>161906950</v>
      </c>
      <c r="F153" s="525">
        <v>161906950</v>
      </c>
      <c r="G153" s="525">
        <f>161906950+411269+605530-782302</f>
        <v>162141447</v>
      </c>
      <c r="H153" s="525">
        <f>161906950+411269+605530-782302</f>
        <v>162141447</v>
      </c>
      <c r="I153" s="525">
        <f>161906950+411269+605530-782302-290000+1099400+540000+1075500</f>
        <v>164566347</v>
      </c>
      <c r="J153" s="525">
        <f>164566347-15000-130000</f>
        <v>164421347</v>
      </c>
      <c r="K153" s="525">
        <f>164566347-15000-255000</f>
        <v>164296347</v>
      </c>
    </row>
    <row r="154" spans="1:11" ht="15" customHeight="1" thickBot="1">
      <c r="A154" s="287" t="s">
        <v>25</v>
      </c>
      <c r="B154" s="321" t="s">
        <v>471</v>
      </c>
      <c r="C154" s="526">
        <f t="shared" ref="C154:I154" si="28">+C130+C134+C141+C146+C152+C153</f>
        <v>144741417</v>
      </c>
      <c r="D154" s="526">
        <f t="shared" si="28"/>
        <v>149108473</v>
      </c>
      <c r="E154" s="527">
        <f t="shared" si="28"/>
        <v>169867528</v>
      </c>
      <c r="F154" s="527">
        <f t="shared" si="28"/>
        <v>169940092</v>
      </c>
      <c r="G154" s="527">
        <f t="shared" si="28"/>
        <v>170174589</v>
      </c>
      <c r="H154" s="527">
        <f t="shared" si="28"/>
        <v>170174589</v>
      </c>
      <c r="I154" s="527">
        <f t="shared" si="28"/>
        <v>172599489</v>
      </c>
      <c r="J154" s="527">
        <f>+J130+J134+J141+J146+J152+J153</f>
        <v>172454489</v>
      </c>
      <c r="K154" s="527">
        <f>+K130+K134+K141+K146+K152+K153</f>
        <v>180437209</v>
      </c>
    </row>
    <row r="155" spans="1:11" ht="15" customHeight="1" thickBot="1">
      <c r="A155" s="317" t="s">
        <v>26</v>
      </c>
      <c r="B155" s="324" t="s">
        <v>558</v>
      </c>
      <c r="C155" s="526"/>
      <c r="D155" s="526"/>
      <c r="E155" s="527"/>
      <c r="F155" s="527"/>
      <c r="G155" s="527"/>
      <c r="H155" s="527"/>
      <c r="I155" s="527"/>
      <c r="J155" s="527"/>
      <c r="K155" s="527"/>
    </row>
    <row r="156" spans="1:11" s="286" customFormat="1" ht="12.95" customHeight="1" thickBot="1">
      <c r="A156" s="325" t="s">
        <v>27</v>
      </c>
      <c r="B156" s="326" t="s">
        <v>470</v>
      </c>
      <c r="C156" s="526">
        <f t="shared" ref="C156:I156" si="29">+C129+C154+C155</f>
        <v>557019582</v>
      </c>
      <c r="D156" s="526">
        <f t="shared" si="29"/>
        <v>632063679</v>
      </c>
      <c r="E156" s="526">
        <f t="shared" si="29"/>
        <v>1223597044</v>
      </c>
      <c r="F156" s="526">
        <f t="shared" si="29"/>
        <v>1227130122</v>
      </c>
      <c r="G156" s="526">
        <f t="shared" si="29"/>
        <v>1233808191</v>
      </c>
      <c r="H156" s="526">
        <f t="shared" si="29"/>
        <v>1236308191</v>
      </c>
      <c r="I156" s="526">
        <f t="shared" si="29"/>
        <v>1274053662</v>
      </c>
      <c r="J156" s="526">
        <f>+J129+J154+J155</f>
        <v>1303142206</v>
      </c>
      <c r="K156" s="526">
        <f>+K129+K154+K155</f>
        <v>1325184366</v>
      </c>
    </row>
    <row r="157" spans="1:11">
      <c r="C157" s="715"/>
    </row>
    <row r="158" spans="1:11">
      <c r="C158" s="718"/>
      <c r="D158" s="718"/>
      <c r="E158" s="718">
        <f t="shared" ref="E158:J158" si="30">E88-E156</f>
        <v>0</v>
      </c>
      <c r="F158" s="718">
        <f t="shared" si="30"/>
        <v>0</v>
      </c>
      <c r="G158" s="718">
        <f t="shared" si="30"/>
        <v>0</v>
      </c>
      <c r="H158" s="718">
        <f t="shared" si="30"/>
        <v>0</v>
      </c>
      <c r="I158" s="718">
        <f t="shared" si="30"/>
        <v>0</v>
      </c>
      <c r="J158" s="718">
        <f t="shared" si="30"/>
        <v>0</v>
      </c>
      <c r="K158" s="718">
        <f>K88-K156</f>
        <v>0</v>
      </c>
    </row>
    <row r="159" spans="1:11">
      <c r="C159" s="715"/>
    </row>
    <row r="160" spans="1:11" ht="16.5" customHeight="1">
      <c r="C160" s="715"/>
    </row>
    <row r="161" spans="3:3">
      <c r="C161" s="715"/>
    </row>
    <row r="162" spans="3:3">
      <c r="C162" s="715"/>
    </row>
    <row r="163" spans="3:3">
      <c r="C163" s="715"/>
    </row>
    <row r="164" spans="3:3">
      <c r="C164" s="715"/>
    </row>
    <row r="165" spans="3:3">
      <c r="C165" s="715"/>
    </row>
    <row r="166" spans="3:3">
      <c r="C166" s="715"/>
    </row>
    <row r="167" spans="3:3">
      <c r="C167" s="715"/>
    </row>
    <row r="168" spans="3:3">
      <c r="C168" s="715"/>
    </row>
    <row r="169" spans="3:3">
      <c r="C169" s="715"/>
    </row>
  </sheetData>
  <mergeCells count="4">
    <mergeCell ref="A1:D1"/>
    <mergeCell ref="A89:D89"/>
    <mergeCell ref="A90:B90"/>
    <mergeCell ref="A2:B2"/>
  </mergeCells>
  <phoneticPr fontId="6" type="noConversion"/>
  <printOptions horizontalCentered="1"/>
  <pageMargins left="0.78740157480314965" right="0.78740157480314965" top="1.4566929133858268" bottom="0.87" header="0.78740157480314965" footer="0.57999999999999996"/>
  <pageSetup paperSize="9" scale="60" fitToWidth="3" fitToHeight="2" orientation="landscape" r:id="rId1"/>
  <headerFooter alignWithMargins="0">
    <oddHeader>&amp;C&amp;"Times New Roman CE,Félkövér"&amp;12&amp;UTájékoztató kimutatások, mérlegek&amp;U
Vonyarcvashegy Nagyközség Önkormányzata
2018. ÉVI KÖLTSÉGVETÉSÉNEK MÉRLEGE&amp;R&amp;"Times New Roman CE,Félkövér dőlt"&amp;11 1. számú tájékoztató tábla</oddHeader>
    <oddFooter>&amp;P. oldal, összesen: &amp;N</oddFooter>
  </headerFooter>
  <rowBreaks count="4" manualBreakCount="4">
    <brk id="34" max="10" man="1"/>
    <brk id="62" max="10" man="1"/>
    <brk id="88" max="10" man="1"/>
    <brk id="129" max="10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zoomScaleNormal="100" workbookViewId="0">
      <selection activeCell="E9" sqref="E9"/>
    </sheetView>
  </sheetViews>
  <sheetFormatPr defaultRowHeight="12.75"/>
  <cols>
    <col min="1" max="1" width="6.83203125" style="264" customWidth="1"/>
    <col min="2" max="2" width="49.6640625" style="265" customWidth="1"/>
    <col min="3" max="3" width="12.83203125" style="265" customWidth="1"/>
    <col min="4" max="4" width="13.33203125" style="265" bestFit="1" customWidth="1"/>
    <col min="5" max="8" width="12.83203125" style="265" customWidth="1"/>
    <col min="9" max="9" width="14.33203125" style="265" customWidth="1"/>
    <col min="10" max="16384" width="9.33203125" style="265"/>
  </cols>
  <sheetData>
    <row r="1" spans="1:9" ht="27.75" customHeight="1">
      <c r="A1" s="786" t="s">
        <v>4</v>
      </c>
      <c r="B1" s="786"/>
      <c r="C1" s="786"/>
      <c r="D1" s="786"/>
      <c r="E1" s="786"/>
      <c r="F1" s="786"/>
      <c r="G1" s="786"/>
      <c r="H1" s="786"/>
      <c r="I1" s="786"/>
    </row>
    <row r="2" spans="1:9" ht="20.25" customHeight="1" thickBot="1">
      <c r="I2" s="360" t="s">
        <v>588</v>
      </c>
    </row>
    <row r="3" spans="1:9" s="361" customFormat="1" ht="26.25" customHeight="1">
      <c r="A3" s="738" t="s">
        <v>66</v>
      </c>
      <c r="B3" s="789" t="s">
        <v>82</v>
      </c>
      <c r="C3" s="738" t="s">
        <v>83</v>
      </c>
      <c r="D3" s="738" t="s">
        <v>706</v>
      </c>
      <c r="E3" s="791" t="s">
        <v>65</v>
      </c>
      <c r="F3" s="792"/>
      <c r="G3" s="792"/>
      <c r="H3" s="793"/>
      <c r="I3" s="789" t="s">
        <v>48</v>
      </c>
    </row>
    <row r="4" spans="1:9" s="364" customFormat="1" ht="32.25" customHeight="1" thickBot="1">
      <c r="A4" s="739"/>
      <c r="B4" s="790"/>
      <c r="C4" s="790"/>
      <c r="D4" s="739"/>
      <c r="E4" s="362" t="s">
        <v>596</v>
      </c>
      <c r="F4" s="362" t="s">
        <v>597</v>
      </c>
      <c r="G4" s="362" t="s">
        <v>606</v>
      </c>
      <c r="H4" s="363" t="s">
        <v>700</v>
      </c>
      <c r="I4" s="790"/>
    </row>
    <row r="5" spans="1:9" s="368" customFormat="1" ht="12.95" customHeight="1" thickBot="1">
      <c r="A5" s="365" t="s">
        <v>485</v>
      </c>
      <c r="B5" s="197" t="s">
        <v>486</v>
      </c>
      <c r="C5" s="366" t="s">
        <v>487</v>
      </c>
      <c r="D5" s="197" t="s">
        <v>489</v>
      </c>
      <c r="E5" s="365" t="s">
        <v>488</v>
      </c>
      <c r="F5" s="366" t="s">
        <v>490</v>
      </c>
      <c r="G5" s="366" t="s">
        <v>492</v>
      </c>
      <c r="H5" s="199" t="s">
        <v>493</v>
      </c>
      <c r="I5" s="367" t="s">
        <v>494</v>
      </c>
    </row>
    <row r="6" spans="1:9" ht="24.75" customHeight="1" thickBot="1">
      <c r="A6" s="198" t="s">
        <v>16</v>
      </c>
      <c r="B6" s="369" t="s">
        <v>5</v>
      </c>
      <c r="C6" s="370"/>
      <c r="D6" s="371">
        <f>+D7+D8</f>
        <v>0</v>
      </c>
      <c r="E6" s="372">
        <f>+E7+E8</f>
        <v>0</v>
      </c>
      <c r="F6" s="373">
        <f>+F7+F8</f>
        <v>0</v>
      </c>
      <c r="G6" s="373">
        <f>+G7+G8</f>
        <v>0</v>
      </c>
      <c r="H6" s="374">
        <f>+H7+H8</f>
        <v>0</v>
      </c>
      <c r="I6" s="371">
        <f t="shared" ref="I6:I17" si="0">SUM(D6:H6)</f>
        <v>0</v>
      </c>
    </row>
    <row r="7" spans="1:9" ht="20.100000000000001" customHeight="1">
      <c r="A7" s="375" t="s">
        <v>17</v>
      </c>
      <c r="B7" s="376" t="s">
        <v>67</v>
      </c>
      <c r="C7" s="281"/>
      <c r="D7" s="377"/>
      <c r="E7" s="378"/>
      <c r="F7" s="379"/>
      <c r="G7" s="379"/>
      <c r="H7" s="380"/>
      <c r="I7" s="381">
        <f t="shared" si="0"/>
        <v>0</v>
      </c>
    </row>
    <row r="8" spans="1:9" ht="20.100000000000001" customHeight="1" thickBot="1">
      <c r="A8" s="375" t="s">
        <v>18</v>
      </c>
      <c r="B8" s="376" t="s">
        <v>67</v>
      </c>
      <c r="C8" s="281"/>
      <c r="D8" s="377"/>
      <c r="E8" s="378"/>
      <c r="F8" s="379"/>
      <c r="G8" s="379"/>
      <c r="H8" s="380"/>
      <c r="I8" s="381">
        <f t="shared" si="0"/>
        <v>0</v>
      </c>
    </row>
    <row r="9" spans="1:9" ht="26.1" customHeight="1" thickBot="1">
      <c r="A9" s="198" t="s">
        <v>19</v>
      </c>
      <c r="B9" s="369" t="s">
        <v>6</v>
      </c>
      <c r="C9" s="382"/>
      <c r="D9" s="371">
        <f>+D10+D11</f>
        <v>0</v>
      </c>
      <c r="E9" s="372">
        <f>+E10+E11</f>
        <v>0</v>
      </c>
      <c r="F9" s="373">
        <f>+F10+F11</f>
        <v>0</v>
      </c>
      <c r="G9" s="373">
        <f>+G10+G11</f>
        <v>0</v>
      </c>
      <c r="H9" s="374">
        <f>+H10+H11</f>
        <v>0</v>
      </c>
      <c r="I9" s="642">
        <f t="shared" si="0"/>
        <v>0</v>
      </c>
    </row>
    <row r="10" spans="1:9" ht="20.100000000000001" customHeight="1">
      <c r="A10" s="375" t="s">
        <v>20</v>
      </c>
      <c r="B10" s="376" t="s">
        <v>67</v>
      </c>
      <c r="C10" s="281"/>
      <c r="D10" s="377"/>
      <c r="E10" s="378"/>
      <c r="F10" s="379"/>
      <c r="G10" s="379"/>
      <c r="H10" s="380"/>
      <c r="I10" s="381">
        <f t="shared" si="0"/>
        <v>0</v>
      </c>
    </row>
    <row r="11" spans="1:9" ht="20.100000000000001" customHeight="1" thickBot="1">
      <c r="A11" s="375" t="s">
        <v>21</v>
      </c>
      <c r="B11" s="376" t="s">
        <v>67</v>
      </c>
      <c r="C11" s="281"/>
      <c r="D11" s="377"/>
      <c r="E11" s="378"/>
      <c r="F11" s="379"/>
      <c r="G11" s="379"/>
      <c r="H11" s="380"/>
      <c r="I11" s="381">
        <f t="shared" si="0"/>
        <v>0</v>
      </c>
    </row>
    <row r="12" spans="1:9" ht="20.100000000000001" customHeight="1" thickBot="1">
      <c r="A12" s="198" t="s">
        <v>22</v>
      </c>
      <c r="B12" s="369" t="s">
        <v>197</v>
      </c>
      <c r="C12" s="382"/>
      <c r="D12" s="371">
        <f>+D13</f>
        <v>0</v>
      </c>
      <c r="E12" s="372">
        <f>+E13</f>
        <v>0</v>
      </c>
      <c r="F12" s="373">
        <f>+F13</f>
        <v>0</v>
      </c>
      <c r="G12" s="373">
        <f>+G13</f>
        <v>0</v>
      </c>
      <c r="H12" s="374">
        <f>+H13</f>
        <v>0</v>
      </c>
      <c r="I12" s="371">
        <f t="shared" si="0"/>
        <v>0</v>
      </c>
    </row>
    <row r="13" spans="1:9" ht="20.100000000000001" customHeight="1" thickBot="1">
      <c r="A13" s="375" t="s">
        <v>23</v>
      </c>
      <c r="B13" s="376" t="s">
        <v>67</v>
      </c>
      <c r="C13" s="281"/>
      <c r="D13" s="377"/>
      <c r="E13" s="378"/>
      <c r="F13" s="379"/>
      <c r="G13" s="379"/>
      <c r="H13" s="380"/>
      <c r="I13" s="381">
        <f t="shared" si="0"/>
        <v>0</v>
      </c>
    </row>
    <row r="14" spans="1:9" ht="20.100000000000001" customHeight="1" thickBot="1">
      <c r="A14" s="198" t="s">
        <v>24</v>
      </c>
      <c r="B14" s="369" t="s">
        <v>198</v>
      </c>
      <c r="C14" s="382"/>
      <c r="D14" s="371">
        <f>+D15</f>
        <v>0</v>
      </c>
      <c r="E14" s="372">
        <f>+E15</f>
        <v>0</v>
      </c>
      <c r="F14" s="373">
        <f>+F15</f>
        <v>0</v>
      </c>
      <c r="G14" s="373">
        <f>+G15</f>
        <v>0</v>
      </c>
      <c r="H14" s="374">
        <f>+H15</f>
        <v>0</v>
      </c>
      <c r="I14" s="371">
        <f t="shared" si="0"/>
        <v>0</v>
      </c>
    </row>
    <row r="15" spans="1:9" ht="20.100000000000001" customHeight="1" thickBot="1">
      <c r="A15" s="383" t="s">
        <v>25</v>
      </c>
      <c r="B15" s="384" t="s">
        <v>67</v>
      </c>
      <c r="C15" s="282"/>
      <c r="D15" s="385"/>
      <c r="E15" s="386"/>
      <c r="F15" s="387"/>
      <c r="G15" s="387"/>
      <c r="H15" s="388"/>
      <c r="I15" s="389">
        <f t="shared" si="0"/>
        <v>0</v>
      </c>
    </row>
    <row r="16" spans="1:9" ht="20.100000000000001" customHeight="1" thickBot="1">
      <c r="A16" s="198" t="s">
        <v>26</v>
      </c>
      <c r="B16" s="369" t="s">
        <v>199</v>
      </c>
      <c r="C16" s="382"/>
      <c r="D16" s="371">
        <f>+D17</f>
        <v>0</v>
      </c>
      <c r="E16" s="372">
        <f>+E17</f>
        <v>0</v>
      </c>
      <c r="F16" s="373">
        <f>+F17</f>
        <v>0</v>
      </c>
      <c r="G16" s="373">
        <f>+G17</f>
        <v>0</v>
      </c>
      <c r="H16" s="374">
        <f>+H17</f>
        <v>0</v>
      </c>
      <c r="I16" s="371">
        <f t="shared" si="0"/>
        <v>0</v>
      </c>
    </row>
    <row r="17" spans="1:9" ht="20.100000000000001" customHeight="1" thickBot="1">
      <c r="A17" s="390" t="s">
        <v>27</v>
      </c>
      <c r="B17" s="391" t="s">
        <v>67</v>
      </c>
      <c r="C17" s="392"/>
      <c r="D17" s="393"/>
      <c r="E17" s="394"/>
      <c r="F17" s="395"/>
      <c r="G17" s="395"/>
      <c r="H17" s="396"/>
      <c r="I17" s="397">
        <f t="shared" si="0"/>
        <v>0</v>
      </c>
    </row>
    <row r="18" spans="1:9" ht="20.100000000000001" customHeight="1" thickBot="1">
      <c r="A18" s="787" t="s">
        <v>139</v>
      </c>
      <c r="B18" s="788"/>
      <c r="C18" s="398"/>
      <c r="D18" s="371">
        <f t="shared" ref="D18:I18" si="1">+D6+D9+D12+D14+D16</f>
        <v>0</v>
      </c>
      <c r="E18" s="372">
        <f t="shared" si="1"/>
        <v>0</v>
      </c>
      <c r="F18" s="373">
        <f t="shared" si="1"/>
        <v>0</v>
      </c>
      <c r="G18" s="373">
        <f t="shared" si="1"/>
        <v>0</v>
      </c>
      <c r="H18" s="374">
        <f t="shared" si="1"/>
        <v>0</v>
      </c>
      <c r="I18" s="371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7" orientation="landscape" verticalDpi="300" r:id="rId1"/>
  <headerFooter alignWithMargins="0">
    <oddHeader>&amp;CVonyarcvashegy Nagyközség Önkormányzata
&amp;R 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I159"/>
  <sheetViews>
    <sheetView view="pageLayout" topLeftCell="A134" zoomScaleNormal="100" zoomScaleSheetLayoutView="100" workbookViewId="0">
      <selection activeCell="E162" sqref="E162"/>
    </sheetView>
  </sheetViews>
  <sheetFormatPr defaultRowHeight="12.75"/>
  <cols>
    <col min="1" max="1" width="7.1640625" style="129" bestFit="1" customWidth="1"/>
    <col min="2" max="2" width="67.1640625" style="130" bestFit="1" customWidth="1"/>
    <col min="3" max="9" width="21.33203125" style="575" customWidth="1"/>
    <col min="10" max="16384" width="9.33203125" style="131"/>
  </cols>
  <sheetData>
    <row r="1" spans="1:9" s="36" customFormat="1" ht="15.75">
      <c r="B1" s="471" t="s">
        <v>689</v>
      </c>
      <c r="C1" s="111"/>
      <c r="D1" s="111"/>
      <c r="E1" s="111"/>
      <c r="F1" s="111"/>
      <c r="G1" s="111"/>
      <c r="H1" s="111"/>
      <c r="I1" s="111"/>
    </row>
    <row r="2" spans="1:9" s="36" customFormat="1" ht="15.75">
      <c r="B2" s="471" t="s">
        <v>688</v>
      </c>
      <c r="C2" s="111"/>
      <c r="D2" s="111"/>
      <c r="E2" s="111"/>
      <c r="F2" s="111"/>
      <c r="G2" s="111"/>
      <c r="H2" s="111"/>
      <c r="I2" s="111"/>
    </row>
    <row r="3" spans="1:9" s="36" customFormat="1" ht="15.75">
      <c r="B3" s="475" t="s">
        <v>692</v>
      </c>
      <c r="C3" s="111"/>
      <c r="D3" s="111"/>
      <c r="E3" s="111"/>
      <c r="F3" s="111"/>
      <c r="G3" s="111"/>
      <c r="H3" s="111"/>
      <c r="I3" s="111"/>
    </row>
    <row r="6" spans="1:9" s="36" customFormat="1" ht="15.95" customHeight="1">
      <c r="A6" s="735" t="s">
        <v>583</v>
      </c>
      <c r="B6" s="735"/>
    </row>
    <row r="7" spans="1:9" s="36" customFormat="1" ht="15.95" customHeight="1" thickBot="1">
      <c r="A7" s="734" t="s">
        <v>144</v>
      </c>
      <c r="B7" s="734"/>
      <c r="C7" s="574" t="s">
        <v>588</v>
      </c>
      <c r="D7" s="574" t="s">
        <v>588</v>
      </c>
      <c r="E7" s="574" t="s">
        <v>588</v>
      </c>
      <c r="F7" s="574" t="s">
        <v>588</v>
      </c>
      <c r="G7" s="574" t="s">
        <v>588</v>
      </c>
      <c r="H7" s="574" t="s">
        <v>588</v>
      </c>
      <c r="I7" s="574" t="s">
        <v>588</v>
      </c>
    </row>
    <row r="8" spans="1:9" s="36" customFormat="1" ht="38.1" customHeight="1" thickBot="1">
      <c r="A8" s="38" t="s">
        <v>66</v>
      </c>
      <c r="B8" s="39" t="s">
        <v>15</v>
      </c>
      <c r="C8" s="9" t="s">
        <v>687</v>
      </c>
      <c r="D8" s="9" t="s">
        <v>738</v>
      </c>
      <c r="E8" s="270" t="s">
        <v>743</v>
      </c>
      <c r="F8" s="270" t="s">
        <v>758</v>
      </c>
      <c r="G8" s="270" t="s">
        <v>760</v>
      </c>
      <c r="H8" s="9" t="s">
        <v>773</v>
      </c>
      <c r="I8" s="9" t="s">
        <v>780</v>
      </c>
    </row>
    <row r="9" spans="1:9" s="43" customFormat="1" ht="12" customHeight="1" thickBot="1">
      <c r="A9" s="40" t="s">
        <v>485</v>
      </c>
      <c r="B9" s="41" t="s">
        <v>486</v>
      </c>
      <c r="C9" s="42" t="s">
        <v>487</v>
      </c>
      <c r="D9" s="42" t="s">
        <v>487</v>
      </c>
      <c r="E9" s="42" t="s">
        <v>487</v>
      </c>
      <c r="F9" s="42" t="s">
        <v>487</v>
      </c>
      <c r="G9" s="42" t="s">
        <v>487</v>
      </c>
      <c r="H9" s="42" t="s">
        <v>487</v>
      </c>
      <c r="I9" s="42" t="s">
        <v>487</v>
      </c>
    </row>
    <row r="10" spans="1:9" s="47" customFormat="1" ht="12" customHeight="1" thickBot="1">
      <c r="A10" s="44" t="s">
        <v>16</v>
      </c>
      <c r="B10" s="45" t="s">
        <v>243</v>
      </c>
      <c r="C10" s="46">
        <f t="shared" ref="C10:H10" si="0">+C11+C12+C13+C14+C15+C16</f>
        <v>0</v>
      </c>
      <c r="D10" s="46">
        <f t="shared" si="0"/>
        <v>0</v>
      </c>
      <c r="E10" s="46">
        <f t="shared" si="0"/>
        <v>0</v>
      </c>
      <c r="F10" s="46">
        <f t="shared" si="0"/>
        <v>0</v>
      </c>
      <c r="G10" s="46">
        <f t="shared" si="0"/>
        <v>0</v>
      </c>
      <c r="H10" s="46">
        <f t="shared" si="0"/>
        <v>0</v>
      </c>
      <c r="I10" s="46">
        <f>+I11+I12+I13+I14+I15+I16</f>
        <v>0</v>
      </c>
    </row>
    <row r="11" spans="1:9" s="47" customFormat="1" ht="12" customHeight="1">
      <c r="A11" s="48" t="s">
        <v>95</v>
      </c>
      <c r="B11" s="49" t="s">
        <v>244</v>
      </c>
      <c r="C11" s="50"/>
      <c r="D11" s="50"/>
      <c r="E11" s="50"/>
      <c r="F11" s="50"/>
      <c r="G11" s="50"/>
      <c r="H11" s="50"/>
      <c r="I11" s="50"/>
    </row>
    <row r="12" spans="1:9" s="47" customFormat="1" ht="12" customHeight="1">
      <c r="A12" s="51" t="s">
        <v>96</v>
      </c>
      <c r="B12" s="52" t="s">
        <v>245</v>
      </c>
      <c r="C12" s="53"/>
      <c r="D12" s="53"/>
      <c r="E12" s="53"/>
      <c r="F12" s="53"/>
      <c r="G12" s="53"/>
      <c r="H12" s="53"/>
      <c r="I12" s="53"/>
    </row>
    <row r="13" spans="1:9" s="47" customFormat="1" ht="12" customHeight="1">
      <c r="A13" s="51" t="s">
        <v>97</v>
      </c>
      <c r="B13" s="52" t="s">
        <v>246</v>
      </c>
      <c r="C13" s="53"/>
      <c r="D13" s="53"/>
      <c r="E13" s="53"/>
      <c r="F13" s="53"/>
      <c r="G13" s="53"/>
      <c r="H13" s="53"/>
      <c r="I13" s="53"/>
    </row>
    <row r="14" spans="1:9" s="47" customFormat="1" ht="12" customHeight="1">
      <c r="A14" s="51" t="s">
        <v>98</v>
      </c>
      <c r="B14" s="52" t="s">
        <v>247</v>
      </c>
      <c r="C14" s="53"/>
      <c r="D14" s="53"/>
      <c r="E14" s="53"/>
      <c r="F14" s="53"/>
      <c r="G14" s="53"/>
      <c r="H14" s="53"/>
      <c r="I14" s="53"/>
    </row>
    <row r="15" spans="1:9" s="47" customFormat="1" ht="12" customHeight="1">
      <c r="A15" s="51" t="s">
        <v>141</v>
      </c>
      <c r="B15" s="54" t="s">
        <v>428</v>
      </c>
      <c r="C15" s="53"/>
      <c r="D15" s="53"/>
      <c r="E15" s="53"/>
      <c r="F15" s="53"/>
      <c r="G15" s="53"/>
      <c r="H15" s="53"/>
      <c r="I15" s="53"/>
    </row>
    <row r="16" spans="1:9" s="47" customFormat="1" ht="12" customHeight="1" thickBot="1">
      <c r="A16" s="55" t="s">
        <v>99</v>
      </c>
      <c r="B16" s="56" t="s">
        <v>429</v>
      </c>
      <c r="C16" s="53"/>
      <c r="D16" s="53"/>
      <c r="E16" s="53"/>
      <c r="F16" s="53"/>
      <c r="G16" s="53"/>
      <c r="H16" s="53"/>
      <c r="I16" s="53"/>
    </row>
    <row r="17" spans="1:9" s="47" customFormat="1" ht="12" customHeight="1" thickBot="1">
      <c r="A17" s="44" t="s">
        <v>17</v>
      </c>
      <c r="B17" s="57" t="s">
        <v>248</v>
      </c>
      <c r="C17" s="46">
        <f t="shared" ref="C17:H17" si="1">+C18+C19+C20+C21+C22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>+I18+I19+I20+I21+I22</f>
        <v>0</v>
      </c>
    </row>
    <row r="18" spans="1:9" s="47" customFormat="1" ht="12" customHeight="1">
      <c r="A18" s="48" t="s">
        <v>101</v>
      </c>
      <c r="B18" s="49" t="s">
        <v>249</v>
      </c>
      <c r="C18" s="50"/>
      <c r="D18" s="50"/>
      <c r="E18" s="50"/>
      <c r="F18" s="50"/>
      <c r="G18" s="50"/>
      <c r="H18" s="50"/>
      <c r="I18" s="50"/>
    </row>
    <row r="19" spans="1:9" s="47" customFormat="1" ht="12" customHeight="1">
      <c r="A19" s="51" t="s">
        <v>102</v>
      </c>
      <c r="B19" s="52" t="s">
        <v>250</v>
      </c>
      <c r="C19" s="53"/>
      <c r="D19" s="53"/>
      <c r="E19" s="53"/>
      <c r="F19" s="53"/>
      <c r="G19" s="53"/>
      <c r="H19" s="53"/>
      <c r="I19" s="53"/>
    </row>
    <row r="20" spans="1:9" s="47" customFormat="1" ht="12" customHeight="1">
      <c r="A20" s="51" t="s">
        <v>103</v>
      </c>
      <c r="B20" s="52" t="s">
        <v>418</v>
      </c>
      <c r="C20" s="53"/>
      <c r="D20" s="53"/>
      <c r="E20" s="53"/>
      <c r="F20" s="53"/>
      <c r="G20" s="53"/>
      <c r="H20" s="53"/>
      <c r="I20" s="53"/>
    </row>
    <row r="21" spans="1:9" s="47" customFormat="1" ht="12" customHeight="1">
      <c r="A21" s="51" t="s">
        <v>104</v>
      </c>
      <c r="B21" s="52" t="s">
        <v>419</v>
      </c>
      <c r="C21" s="53"/>
      <c r="D21" s="53"/>
      <c r="E21" s="53"/>
      <c r="F21" s="53"/>
      <c r="G21" s="53"/>
      <c r="H21" s="53"/>
      <c r="I21" s="53"/>
    </row>
    <row r="22" spans="1:9" s="47" customFormat="1" ht="12" customHeight="1">
      <c r="A22" s="51" t="s">
        <v>105</v>
      </c>
      <c r="B22" s="52" t="s">
        <v>251</v>
      </c>
      <c r="C22" s="53"/>
      <c r="D22" s="53"/>
      <c r="E22" s="53"/>
      <c r="F22" s="53"/>
      <c r="G22" s="53"/>
      <c r="H22" s="53"/>
      <c r="I22" s="53"/>
    </row>
    <row r="23" spans="1:9" s="47" customFormat="1" ht="12" customHeight="1" thickBot="1">
      <c r="A23" s="55" t="s">
        <v>114</v>
      </c>
      <c r="B23" s="56" t="s">
        <v>252</v>
      </c>
      <c r="C23" s="58"/>
      <c r="D23" s="58"/>
      <c r="E23" s="58"/>
      <c r="F23" s="58"/>
      <c r="G23" s="58"/>
      <c r="H23" s="58"/>
      <c r="I23" s="58"/>
    </row>
    <row r="24" spans="1:9" s="47" customFormat="1" ht="12" customHeight="1" thickBot="1">
      <c r="A24" s="44" t="s">
        <v>18</v>
      </c>
      <c r="B24" s="45" t="s">
        <v>253</v>
      </c>
      <c r="C24" s="46">
        <f t="shared" ref="C24:H24" si="2">+C25+C26+C27+C28+C29</f>
        <v>0</v>
      </c>
      <c r="D24" s="46">
        <f t="shared" si="2"/>
        <v>0</v>
      </c>
      <c r="E24" s="46">
        <f t="shared" si="2"/>
        <v>0</v>
      </c>
      <c r="F24" s="46">
        <f t="shared" si="2"/>
        <v>0</v>
      </c>
      <c r="G24" s="46">
        <f t="shared" si="2"/>
        <v>0</v>
      </c>
      <c r="H24" s="46">
        <f t="shared" si="2"/>
        <v>0</v>
      </c>
      <c r="I24" s="46">
        <f>+I25+I26+I27+I28+I29</f>
        <v>0</v>
      </c>
    </row>
    <row r="25" spans="1:9" s="47" customFormat="1" ht="12" customHeight="1">
      <c r="A25" s="48" t="s">
        <v>84</v>
      </c>
      <c r="B25" s="49" t="s">
        <v>254</v>
      </c>
      <c r="C25" s="50"/>
      <c r="D25" s="50"/>
      <c r="E25" s="50"/>
      <c r="F25" s="50"/>
      <c r="G25" s="50"/>
      <c r="H25" s="50"/>
      <c r="I25" s="50"/>
    </row>
    <row r="26" spans="1:9" s="47" customFormat="1" ht="12" customHeight="1">
      <c r="A26" s="51" t="s">
        <v>85</v>
      </c>
      <c r="B26" s="52" t="s">
        <v>255</v>
      </c>
      <c r="C26" s="53"/>
      <c r="D26" s="53"/>
      <c r="E26" s="53"/>
      <c r="F26" s="53"/>
      <c r="G26" s="53"/>
      <c r="H26" s="53"/>
      <c r="I26" s="53"/>
    </row>
    <row r="27" spans="1:9" s="47" customFormat="1" ht="12" customHeight="1">
      <c r="A27" s="51" t="s">
        <v>86</v>
      </c>
      <c r="B27" s="52" t="s">
        <v>420</v>
      </c>
      <c r="C27" s="53"/>
      <c r="D27" s="53"/>
      <c r="E27" s="53"/>
      <c r="F27" s="53"/>
      <c r="G27" s="53"/>
      <c r="H27" s="53"/>
      <c r="I27" s="53"/>
    </row>
    <row r="28" spans="1:9" s="47" customFormat="1" ht="12" customHeight="1">
      <c r="A28" s="51" t="s">
        <v>87</v>
      </c>
      <c r="B28" s="52" t="s">
        <v>421</v>
      </c>
      <c r="C28" s="53"/>
      <c r="D28" s="53"/>
      <c r="E28" s="53"/>
      <c r="F28" s="53"/>
      <c r="G28" s="53"/>
      <c r="H28" s="53"/>
      <c r="I28" s="53"/>
    </row>
    <row r="29" spans="1:9" s="47" customFormat="1" ht="12" customHeight="1">
      <c r="A29" s="51" t="s">
        <v>162</v>
      </c>
      <c r="B29" s="52" t="s">
        <v>256</v>
      </c>
      <c r="C29" s="53"/>
      <c r="D29" s="53"/>
      <c r="E29" s="53"/>
      <c r="F29" s="53"/>
      <c r="G29" s="53"/>
      <c r="H29" s="53"/>
      <c r="I29" s="53"/>
    </row>
    <row r="30" spans="1:9" s="47" customFormat="1" ht="12" customHeight="1" thickBot="1">
      <c r="A30" s="55" t="s">
        <v>163</v>
      </c>
      <c r="B30" s="59" t="s">
        <v>257</v>
      </c>
      <c r="C30" s="58"/>
      <c r="D30" s="58"/>
      <c r="E30" s="58"/>
      <c r="F30" s="58"/>
      <c r="G30" s="58"/>
      <c r="H30" s="58"/>
      <c r="I30" s="58"/>
    </row>
    <row r="31" spans="1:9" s="47" customFormat="1" ht="12" customHeight="1" thickBot="1">
      <c r="A31" s="44" t="s">
        <v>164</v>
      </c>
      <c r="B31" s="45" t="s">
        <v>258</v>
      </c>
      <c r="C31" s="60">
        <f t="shared" ref="C31:H31" si="3">+C32+C36+C37+C38</f>
        <v>0</v>
      </c>
      <c r="D31" s="60">
        <f t="shared" si="3"/>
        <v>0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0">
        <f>+I32+I36+I37+I38</f>
        <v>0</v>
      </c>
    </row>
    <row r="32" spans="1:9" s="47" customFormat="1" ht="12" customHeight="1">
      <c r="A32" s="48" t="s">
        <v>259</v>
      </c>
      <c r="B32" s="124" t="s">
        <v>435</v>
      </c>
      <c r="C32" s="61">
        <f t="shared" ref="C32:H32" si="4">C33+C34+C35</f>
        <v>0</v>
      </c>
      <c r="D32" s="61">
        <f t="shared" si="4"/>
        <v>0</v>
      </c>
      <c r="E32" s="61">
        <f t="shared" si="4"/>
        <v>0</v>
      </c>
      <c r="F32" s="61">
        <f t="shared" si="4"/>
        <v>0</v>
      </c>
      <c r="G32" s="61">
        <f t="shared" si="4"/>
        <v>0</v>
      </c>
      <c r="H32" s="61">
        <f t="shared" si="4"/>
        <v>0</v>
      </c>
      <c r="I32" s="61">
        <f>I33+I34+I35</f>
        <v>0</v>
      </c>
    </row>
    <row r="33" spans="1:9" s="47" customFormat="1" ht="12" customHeight="1">
      <c r="A33" s="51" t="s">
        <v>260</v>
      </c>
      <c r="B33" s="125" t="s">
        <v>603</v>
      </c>
      <c r="C33" s="53"/>
      <c r="D33" s="53"/>
      <c r="E33" s="53"/>
      <c r="F33" s="53"/>
      <c r="G33" s="53"/>
      <c r="H33" s="53"/>
      <c r="I33" s="53"/>
    </row>
    <row r="34" spans="1:9" s="47" customFormat="1" ht="12" customHeight="1">
      <c r="A34" s="51" t="s">
        <v>261</v>
      </c>
      <c r="B34" s="125" t="s">
        <v>604</v>
      </c>
      <c r="C34" s="53"/>
      <c r="D34" s="53"/>
      <c r="E34" s="53"/>
      <c r="F34" s="53"/>
      <c r="G34" s="53"/>
      <c r="H34" s="53"/>
      <c r="I34" s="53"/>
    </row>
    <row r="35" spans="1:9" s="47" customFormat="1" ht="12" customHeight="1">
      <c r="A35" s="51" t="s">
        <v>433</v>
      </c>
      <c r="B35" s="126" t="s">
        <v>434</v>
      </c>
      <c r="C35" s="53">
        <f t="shared" ref="C35:I35" si="5">3003069-3000000-3069</f>
        <v>0</v>
      </c>
      <c r="D35" s="53">
        <f t="shared" si="5"/>
        <v>0</v>
      </c>
      <c r="E35" s="53">
        <f t="shared" si="5"/>
        <v>0</v>
      </c>
      <c r="F35" s="53">
        <f t="shared" si="5"/>
        <v>0</v>
      </c>
      <c r="G35" s="53">
        <f t="shared" si="5"/>
        <v>0</v>
      </c>
      <c r="H35" s="53">
        <f t="shared" si="5"/>
        <v>0</v>
      </c>
      <c r="I35" s="53">
        <f t="shared" si="5"/>
        <v>0</v>
      </c>
    </row>
    <row r="36" spans="1:9" s="47" customFormat="1" ht="12" customHeight="1">
      <c r="A36" s="51" t="s">
        <v>262</v>
      </c>
      <c r="B36" s="125" t="s">
        <v>267</v>
      </c>
      <c r="C36" s="53"/>
      <c r="D36" s="53"/>
      <c r="E36" s="53"/>
      <c r="F36" s="53"/>
      <c r="G36" s="53"/>
      <c r="H36" s="53"/>
      <c r="I36" s="53"/>
    </row>
    <row r="37" spans="1:9" s="47" customFormat="1" ht="12" customHeight="1">
      <c r="A37" s="51" t="s">
        <v>263</v>
      </c>
      <c r="B37" s="125" t="s">
        <v>581</v>
      </c>
      <c r="C37" s="53"/>
      <c r="D37" s="53"/>
      <c r="E37" s="53"/>
      <c r="F37" s="53"/>
      <c r="G37" s="53"/>
      <c r="H37" s="53"/>
      <c r="I37" s="53"/>
    </row>
    <row r="38" spans="1:9" s="47" customFormat="1" ht="12" customHeight="1" thickBot="1">
      <c r="A38" s="55" t="s">
        <v>264</v>
      </c>
      <c r="B38" s="127" t="s">
        <v>269</v>
      </c>
      <c r="C38" s="58"/>
      <c r="D38" s="58"/>
      <c r="E38" s="58"/>
      <c r="F38" s="58"/>
      <c r="G38" s="58"/>
      <c r="H38" s="58"/>
      <c r="I38" s="58"/>
    </row>
    <row r="39" spans="1:9" s="47" customFormat="1" ht="12" customHeight="1" thickBot="1">
      <c r="A39" s="44" t="s">
        <v>20</v>
      </c>
      <c r="B39" s="45" t="s">
        <v>430</v>
      </c>
      <c r="C39" s="46">
        <f t="shared" ref="C39:H39" si="6">SUM(C40:C50)</f>
        <v>98776182.030000001</v>
      </c>
      <c r="D39" s="46">
        <f t="shared" si="6"/>
        <v>98776182.030000001</v>
      </c>
      <c r="E39" s="46">
        <f t="shared" si="6"/>
        <v>107347927</v>
      </c>
      <c r="F39" s="46">
        <f t="shared" si="6"/>
        <v>107347927</v>
      </c>
      <c r="G39" s="46">
        <f t="shared" si="6"/>
        <v>121860759</v>
      </c>
      <c r="H39" s="46">
        <f t="shared" si="6"/>
        <v>119311869</v>
      </c>
      <c r="I39" s="46">
        <f>SUM(I40:I50)</f>
        <v>119311869</v>
      </c>
    </row>
    <row r="40" spans="1:9" s="47" customFormat="1" ht="12" customHeight="1">
      <c r="A40" s="48" t="s">
        <v>88</v>
      </c>
      <c r="B40" s="49" t="s">
        <v>272</v>
      </c>
      <c r="C40" s="50"/>
      <c r="D40" s="50"/>
      <c r="E40" s="50"/>
      <c r="F40" s="50"/>
      <c r="G40" s="50"/>
      <c r="H40" s="50"/>
      <c r="I40" s="50"/>
    </row>
    <row r="41" spans="1:9" s="47" customFormat="1" ht="12" customHeight="1">
      <c r="A41" s="51" t="s">
        <v>89</v>
      </c>
      <c r="B41" s="52" t="s">
        <v>273</v>
      </c>
      <c r="C41" s="53">
        <f>70000000+8683416+314173+576000</f>
        <v>79573589</v>
      </c>
      <c r="D41" s="53">
        <f>70000000+8683416+314173+576000</f>
        <v>79573589</v>
      </c>
      <c r="E41" s="53">
        <f>70000000+8683416+314173+576000+2441752+787402+150000+2184252+1186000</f>
        <v>86322995</v>
      </c>
      <c r="F41" s="53">
        <f>70000000+8683416+314173+576000+2441752+787402+150000+2184252+1186000</f>
        <v>86322995</v>
      </c>
      <c r="G41" s="53">
        <v>93635827</v>
      </c>
      <c r="H41" s="53">
        <v>91086937</v>
      </c>
      <c r="I41" s="53">
        <v>91086937</v>
      </c>
    </row>
    <row r="42" spans="1:9" s="47" customFormat="1" ht="12" customHeight="1">
      <c r="A42" s="51" t="s">
        <v>90</v>
      </c>
      <c r="B42" s="52" t="s">
        <v>274</v>
      </c>
      <c r="C42" s="53"/>
      <c r="D42" s="53"/>
      <c r="E42" s="53"/>
      <c r="F42" s="53"/>
      <c r="G42" s="53"/>
      <c r="H42" s="53"/>
      <c r="I42" s="53"/>
    </row>
    <row r="43" spans="1:9" s="47" customFormat="1" ht="12" customHeight="1">
      <c r="A43" s="51" t="s">
        <v>166</v>
      </c>
      <c r="B43" s="52" t="s">
        <v>275</v>
      </c>
      <c r="C43" s="53"/>
      <c r="D43" s="53"/>
      <c r="E43" s="53"/>
      <c r="F43" s="53"/>
      <c r="G43" s="53"/>
      <c r="H43" s="53"/>
      <c r="I43" s="53"/>
    </row>
    <row r="44" spans="1:9" s="47" customFormat="1" ht="12" customHeight="1">
      <c r="A44" s="51" t="s">
        <v>167</v>
      </c>
      <c r="B44" s="52" t="s">
        <v>276</v>
      </c>
      <c r="C44" s="53"/>
      <c r="D44" s="53"/>
      <c r="E44" s="53"/>
      <c r="F44" s="53"/>
      <c r="G44" s="53"/>
      <c r="H44" s="53"/>
      <c r="I44" s="53"/>
    </row>
    <row r="45" spans="1:9" s="47" customFormat="1" ht="12" customHeight="1">
      <c r="A45" s="51" t="s">
        <v>168</v>
      </c>
      <c r="B45" s="52" t="s">
        <v>277</v>
      </c>
      <c r="C45" s="53">
        <f>C41*0.27-2282276</f>
        <v>19202593.030000001</v>
      </c>
      <c r="D45" s="53">
        <f>D41*0.27-2282276</f>
        <v>19202593.030000001</v>
      </c>
      <c r="E45" s="53">
        <f>19861866+212598+40500+589748+320220</f>
        <v>21024932</v>
      </c>
      <c r="F45" s="53">
        <f>19861866+212598+40500+589748+320220</f>
        <v>21024932</v>
      </c>
      <c r="G45" s="53">
        <v>28224932</v>
      </c>
      <c r="H45" s="53">
        <v>28224932</v>
      </c>
      <c r="I45" s="53">
        <v>28224932</v>
      </c>
    </row>
    <row r="46" spans="1:9" s="47" customFormat="1" ht="12" customHeight="1">
      <c r="A46" s="51" t="s">
        <v>169</v>
      </c>
      <c r="B46" s="52" t="s">
        <v>278</v>
      </c>
      <c r="C46" s="53"/>
      <c r="D46" s="53"/>
      <c r="E46" s="53"/>
      <c r="F46" s="53"/>
      <c r="G46" s="53"/>
      <c r="H46" s="53"/>
      <c r="I46" s="53"/>
    </row>
    <row r="47" spans="1:9" s="47" customFormat="1" ht="12" customHeight="1">
      <c r="A47" s="51" t="s">
        <v>170</v>
      </c>
      <c r="B47" s="52" t="s">
        <v>279</v>
      </c>
      <c r="C47" s="63"/>
      <c r="D47" s="63"/>
      <c r="E47" s="63"/>
      <c r="F47" s="63"/>
      <c r="G47" s="63"/>
      <c r="H47" s="63"/>
      <c r="I47" s="63"/>
    </row>
    <row r="48" spans="1:9" s="47" customFormat="1" ht="12" customHeight="1">
      <c r="A48" s="51" t="s">
        <v>270</v>
      </c>
      <c r="B48" s="52" t="s">
        <v>280</v>
      </c>
      <c r="C48" s="63"/>
      <c r="D48" s="63"/>
      <c r="E48" s="63"/>
      <c r="F48" s="63"/>
      <c r="G48" s="63"/>
      <c r="H48" s="63"/>
      <c r="I48" s="63"/>
    </row>
    <row r="49" spans="1:9" s="47" customFormat="1" ht="12" customHeight="1">
      <c r="A49" s="55" t="s">
        <v>271</v>
      </c>
      <c r="B49" s="59" t="s">
        <v>432</v>
      </c>
      <c r="C49" s="64"/>
      <c r="D49" s="64"/>
      <c r="E49" s="64"/>
      <c r="F49" s="64"/>
      <c r="G49" s="64"/>
      <c r="H49" s="64"/>
      <c r="I49" s="64"/>
    </row>
    <row r="50" spans="1:9" s="47" customFormat="1" ht="12" customHeight="1" thickBot="1">
      <c r="A50" s="55" t="s">
        <v>431</v>
      </c>
      <c r="B50" s="56" t="s">
        <v>281</v>
      </c>
      <c r="C50" s="64"/>
      <c r="D50" s="64"/>
      <c r="E50" s="64"/>
      <c r="F50" s="64"/>
      <c r="G50" s="64"/>
      <c r="H50" s="64"/>
      <c r="I50" s="64"/>
    </row>
    <row r="51" spans="1:9" s="47" customFormat="1" ht="12" customHeight="1" thickBot="1">
      <c r="A51" s="44" t="s">
        <v>21</v>
      </c>
      <c r="B51" s="45" t="s">
        <v>282</v>
      </c>
      <c r="C51" s="46">
        <f t="shared" ref="C51:H51" si="7">SUM(C52:C56)</f>
        <v>0</v>
      </c>
      <c r="D51" s="46">
        <f t="shared" si="7"/>
        <v>0</v>
      </c>
      <c r="E51" s="46">
        <f t="shared" si="7"/>
        <v>0</v>
      </c>
      <c r="F51" s="46">
        <f t="shared" si="7"/>
        <v>0</v>
      </c>
      <c r="G51" s="46">
        <f t="shared" si="7"/>
        <v>0</v>
      </c>
      <c r="H51" s="46">
        <f t="shared" si="7"/>
        <v>0</v>
      </c>
      <c r="I51" s="46">
        <f>SUM(I52:I56)</f>
        <v>0</v>
      </c>
    </row>
    <row r="52" spans="1:9" s="47" customFormat="1" ht="12" customHeight="1">
      <c r="A52" s="48" t="s">
        <v>91</v>
      </c>
      <c r="B52" s="49" t="s">
        <v>286</v>
      </c>
      <c r="C52" s="65"/>
      <c r="D52" s="65"/>
      <c r="E52" s="65"/>
      <c r="F52" s="65"/>
      <c r="G52" s="65"/>
      <c r="H52" s="65"/>
      <c r="I52" s="65"/>
    </row>
    <row r="53" spans="1:9" s="47" customFormat="1" ht="12" customHeight="1">
      <c r="A53" s="51" t="s">
        <v>92</v>
      </c>
      <c r="B53" s="52" t="s">
        <v>287</v>
      </c>
      <c r="C53" s="63"/>
      <c r="D53" s="63"/>
      <c r="E53" s="63"/>
      <c r="F53" s="63"/>
      <c r="G53" s="63"/>
      <c r="H53" s="63"/>
      <c r="I53" s="63"/>
    </row>
    <row r="54" spans="1:9" s="47" customFormat="1" ht="12" customHeight="1">
      <c r="A54" s="51" t="s">
        <v>283</v>
      </c>
      <c r="B54" s="52" t="s">
        <v>288</v>
      </c>
      <c r="C54" s="63"/>
      <c r="D54" s="63"/>
      <c r="E54" s="63"/>
      <c r="F54" s="63"/>
      <c r="G54" s="63"/>
      <c r="H54" s="63"/>
      <c r="I54" s="63"/>
    </row>
    <row r="55" spans="1:9" s="47" customFormat="1" ht="12" customHeight="1">
      <c r="A55" s="51" t="s">
        <v>284</v>
      </c>
      <c r="B55" s="52" t="s">
        <v>289</v>
      </c>
      <c r="C55" s="63"/>
      <c r="D55" s="63"/>
      <c r="E55" s="63"/>
      <c r="F55" s="63"/>
      <c r="G55" s="63"/>
      <c r="H55" s="63"/>
      <c r="I55" s="63"/>
    </row>
    <row r="56" spans="1:9" s="47" customFormat="1" ht="12" customHeight="1" thickBot="1">
      <c r="A56" s="55" t="s">
        <v>285</v>
      </c>
      <c r="B56" s="56" t="s">
        <v>290</v>
      </c>
      <c r="C56" s="64"/>
      <c r="D56" s="64"/>
      <c r="E56" s="64"/>
      <c r="F56" s="64"/>
      <c r="G56" s="64"/>
      <c r="H56" s="64"/>
      <c r="I56" s="64"/>
    </row>
    <row r="57" spans="1:9" s="47" customFormat="1" ht="12" customHeight="1" thickBot="1">
      <c r="A57" s="44" t="s">
        <v>171</v>
      </c>
      <c r="B57" s="45" t="s">
        <v>291</v>
      </c>
      <c r="C57" s="46">
        <f t="shared" ref="C57:H57" si="8">SUM(C58:C60)</f>
        <v>0</v>
      </c>
      <c r="D57" s="46">
        <f t="shared" si="8"/>
        <v>0</v>
      </c>
      <c r="E57" s="46">
        <f t="shared" si="8"/>
        <v>0</v>
      </c>
      <c r="F57" s="46">
        <f t="shared" si="8"/>
        <v>0</v>
      </c>
      <c r="G57" s="46">
        <f t="shared" si="8"/>
        <v>0</v>
      </c>
      <c r="H57" s="46">
        <f t="shared" si="8"/>
        <v>0</v>
      </c>
      <c r="I57" s="46">
        <f>SUM(I58:I60)</f>
        <v>0</v>
      </c>
    </row>
    <row r="58" spans="1:9" s="47" customFormat="1" ht="12" customHeight="1">
      <c r="A58" s="48" t="s">
        <v>93</v>
      </c>
      <c r="B58" s="49" t="s">
        <v>292</v>
      </c>
      <c r="C58" s="50"/>
      <c r="D58" s="50"/>
      <c r="E58" s="50"/>
      <c r="F58" s="50"/>
      <c r="G58" s="50"/>
      <c r="H58" s="50"/>
      <c r="I58" s="50"/>
    </row>
    <row r="59" spans="1:9" s="47" customFormat="1" ht="12" customHeight="1">
      <c r="A59" s="51" t="s">
        <v>94</v>
      </c>
      <c r="B59" s="52" t="s">
        <v>422</v>
      </c>
      <c r="C59" s="53"/>
      <c r="D59" s="53"/>
      <c r="E59" s="53"/>
      <c r="F59" s="53"/>
      <c r="G59" s="53"/>
      <c r="H59" s="53"/>
      <c r="I59" s="53"/>
    </row>
    <row r="60" spans="1:9" s="47" customFormat="1" ht="12" customHeight="1">
      <c r="A60" s="51" t="s">
        <v>295</v>
      </c>
      <c r="B60" s="52" t="s">
        <v>293</v>
      </c>
      <c r="C60" s="53"/>
      <c r="D60" s="53"/>
      <c r="E60" s="53"/>
      <c r="F60" s="53"/>
      <c r="G60" s="53"/>
      <c r="H60" s="53"/>
      <c r="I60" s="53"/>
    </row>
    <row r="61" spans="1:9" s="47" customFormat="1" ht="12" customHeight="1" thickBot="1">
      <c r="A61" s="55" t="s">
        <v>296</v>
      </c>
      <c r="B61" s="56" t="s">
        <v>294</v>
      </c>
      <c r="C61" s="58"/>
      <c r="D61" s="58"/>
      <c r="E61" s="58"/>
      <c r="F61" s="58"/>
      <c r="G61" s="58"/>
      <c r="H61" s="58"/>
      <c r="I61" s="58"/>
    </row>
    <row r="62" spans="1:9" s="47" customFormat="1" ht="12" customHeight="1" thickBot="1">
      <c r="A62" s="44" t="s">
        <v>23</v>
      </c>
      <c r="B62" s="57" t="s">
        <v>297</v>
      </c>
      <c r="C62" s="46">
        <f t="shared" ref="C62:H62" si="9">SUM(C63:C65)</f>
        <v>0</v>
      </c>
      <c r="D62" s="46">
        <f t="shared" si="9"/>
        <v>0</v>
      </c>
      <c r="E62" s="46">
        <f t="shared" si="9"/>
        <v>0</v>
      </c>
      <c r="F62" s="46">
        <f t="shared" si="9"/>
        <v>0</v>
      </c>
      <c r="G62" s="46">
        <f t="shared" si="9"/>
        <v>0</v>
      </c>
      <c r="H62" s="46">
        <f t="shared" si="9"/>
        <v>0</v>
      </c>
      <c r="I62" s="46">
        <f>SUM(I63:I65)</f>
        <v>0</v>
      </c>
    </row>
    <row r="63" spans="1:9" s="47" customFormat="1" ht="12" customHeight="1">
      <c r="A63" s="48" t="s">
        <v>172</v>
      </c>
      <c r="B63" s="49" t="s">
        <v>299</v>
      </c>
      <c r="C63" s="63"/>
      <c r="D63" s="63"/>
      <c r="E63" s="63"/>
      <c r="F63" s="63"/>
      <c r="G63" s="63"/>
      <c r="H63" s="63"/>
      <c r="I63" s="63"/>
    </row>
    <row r="64" spans="1:9" s="47" customFormat="1" ht="12" customHeight="1">
      <c r="A64" s="51" t="s">
        <v>173</v>
      </c>
      <c r="B64" s="52" t="s">
        <v>423</v>
      </c>
      <c r="C64" s="63"/>
      <c r="D64" s="63"/>
      <c r="E64" s="63"/>
      <c r="F64" s="63"/>
      <c r="G64" s="63"/>
      <c r="H64" s="63"/>
      <c r="I64" s="63"/>
    </row>
    <row r="65" spans="1:9" s="47" customFormat="1" ht="12" customHeight="1">
      <c r="A65" s="51" t="s">
        <v>221</v>
      </c>
      <c r="B65" s="52" t="s">
        <v>300</v>
      </c>
      <c r="C65" s="63"/>
      <c r="D65" s="63"/>
      <c r="E65" s="63"/>
      <c r="F65" s="63"/>
      <c r="G65" s="63"/>
      <c r="H65" s="63"/>
      <c r="I65" s="63"/>
    </row>
    <row r="66" spans="1:9" s="47" customFormat="1" ht="12" customHeight="1" thickBot="1">
      <c r="A66" s="55" t="s">
        <v>298</v>
      </c>
      <c r="B66" s="56" t="s">
        <v>301</v>
      </c>
      <c r="C66" s="63"/>
      <c r="D66" s="63"/>
      <c r="E66" s="63"/>
      <c r="F66" s="63"/>
      <c r="G66" s="63"/>
      <c r="H66" s="63"/>
      <c r="I66" s="63"/>
    </row>
    <row r="67" spans="1:9" s="47" customFormat="1" ht="12" customHeight="1" thickBot="1">
      <c r="A67" s="66" t="s">
        <v>474</v>
      </c>
      <c r="B67" s="45" t="s">
        <v>302</v>
      </c>
      <c r="C67" s="60">
        <f t="shared" ref="C67:H67" si="10">+C10+C17+C24+C31+C39+C51+C57+C62</f>
        <v>98776182.030000001</v>
      </c>
      <c r="D67" s="60">
        <f t="shared" si="10"/>
        <v>98776182.030000001</v>
      </c>
      <c r="E67" s="60">
        <f t="shared" si="10"/>
        <v>107347927</v>
      </c>
      <c r="F67" s="60">
        <f t="shared" si="10"/>
        <v>107347927</v>
      </c>
      <c r="G67" s="60">
        <f t="shared" si="10"/>
        <v>121860759</v>
      </c>
      <c r="H67" s="60">
        <f t="shared" si="10"/>
        <v>119311869</v>
      </c>
      <c r="I67" s="60">
        <f>+I10+I17+I24+I31+I39+I51+I57+I62</f>
        <v>119311869</v>
      </c>
    </row>
    <row r="68" spans="1:9" s="47" customFormat="1" ht="12" customHeight="1" thickBot="1">
      <c r="A68" s="67" t="s">
        <v>303</v>
      </c>
      <c r="B68" s="57" t="s">
        <v>304</v>
      </c>
      <c r="C68" s="46">
        <f t="shared" ref="C68:H68" si="11">SUM(C69:C71)</f>
        <v>0</v>
      </c>
      <c r="D68" s="46">
        <f t="shared" si="11"/>
        <v>0</v>
      </c>
      <c r="E68" s="46">
        <f t="shared" si="11"/>
        <v>0</v>
      </c>
      <c r="F68" s="46">
        <f t="shared" si="11"/>
        <v>0</v>
      </c>
      <c r="G68" s="46">
        <f t="shared" si="11"/>
        <v>0</v>
      </c>
      <c r="H68" s="46">
        <f t="shared" si="11"/>
        <v>0</v>
      </c>
      <c r="I68" s="46">
        <f>SUM(I69:I71)</f>
        <v>0</v>
      </c>
    </row>
    <row r="69" spans="1:9" s="47" customFormat="1" ht="12" customHeight="1">
      <c r="A69" s="48" t="s">
        <v>335</v>
      </c>
      <c r="B69" s="49" t="s">
        <v>305</v>
      </c>
      <c r="C69" s="63"/>
      <c r="D69" s="63"/>
      <c r="E69" s="63"/>
      <c r="F69" s="63"/>
      <c r="G69" s="63"/>
      <c r="H69" s="63"/>
      <c r="I69" s="63"/>
    </row>
    <row r="70" spans="1:9" s="47" customFormat="1" ht="12" customHeight="1">
      <c r="A70" s="51" t="s">
        <v>344</v>
      </c>
      <c r="B70" s="52" t="s">
        <v>306</v>
      </c>
      <c r="C70" s="63"/>
      <c r="D70" s="63"/>
      <c r="E70" s="63"/>
      <c r="F70" s="63"/>
      <c r="G70" s="63"/>
      <c r="H70" s="63"/>
      <c r="I70" s="63"/>
    </row>
    <row r="71" spans="1:9" s="47" customFormat="1" ht="12" customHeight="1" thickBot="1">
      <c r="A71" s="55" t="s">
        <v>345</v>
      </c>
      <c r="B71" s="68" t="s">
        <v>459</v>
      </c>
      <c r="C71" s="63"/>
      <c r="D71" s="63"/>
      <c r="E71" s="63"/>
      <c r="F71" s="63"/>
      <c r="G71" s="63"/>
      <c r="H71" s="63"/>
      <c r="I71" s="63"/>
    </row>
    <row r="72" spans="1:9" s="47" customFormat="1" ht="12" customHeight="1" thickBot="1">
      <c r="A72" s="67" t="s">
        <v>308</v>
      </c>
      <c r="B72" s="57" t="s">
        <v>309</v>
      </c>
      <c r="C72" s="46">
        <f t="shared" ref="C72:H72" si="12">SUM(C73:C76)</f>
        <v>0</v>
      </c>
      <c r="D72" s="46">
        <f t="shared" si="12"/>
        <v>0</v>
      </c>
      <c r="E72" s="46">
        <f t="shared" si="12"/>
        <v>0</v>
      </c>
      <c r="F72" s="46">
        <f t="shared" si="12"/>
        <v>0</v>
      </c>
      <c r="G72" s="46">
        <f t="shared" si="12"/>
        <v>0</v>
      </c>
      <c r="H72" s="46">
        <f t="shared" si="12"/>
        <v>0</v>
      </c>
      <c r="I72" s="46">
        <f>SUM(I73:I76)</f>
        <v>0</v>
      </c>
    </row>
    <row r="73" spans="1:9" s="47" customFormat="1" ht="12" customHeight="1">
      <c r="A73" s="48" t="s">
        <v>142</v>
      </c>
      <c r="B73" s="49" t="s">
        <v>310</v>
      </c>
      <c r="C73" s="63"/>
      <c r="D73" s="63"/>
      <c r="E73" s="63"/>
      <c r="F73" s="63"/>
      <c r="G73" s="63"/>
      <c r="H73" s="63"/>
      <c r="I73" s="63"/>
    </row>
    <row r="74" spans="1:9" s="47" customFormat="1" ht="12" customHeight="1">
      <c r="A74" s="51" t="s">
        <v>143</v>
      </c>
      <c r="B74" s="52" t="s">
        <v>311</v>
      </c>
      <c r="C74" s="63"/>
      <c r="D74" s="63"/>
      <c r="E74" s="63"/>
      <c r="F74" s="63"/>
      <c r="G74" s="63"/>
      <c r="H74" s="63"/>
      <c r="I74" s="63"/>
    </row>
    <row r="75" spans="1:9" s="47" customFormat="1" ht="12" customHeight="1">
      <c r="A75" s="51" t="s">
        <v>336</v>
      </c>
      <c r="B75" s="52" t="s">
        <v>312</v>
      </c>
      <c r="C75" s="63"/>
      <c r="D75" s="63"/>
      <c r="E75" s="63"/>
      <c r="F75" s="63"/>
      <c r="G75" s="63"/>
      <c r="H75" s="63"/>
      <c r="I75" s="63"/>
    </row>
    <row r="76" spans="1:9" s="47" customFormat="1" ht="12" customHeight="1" thickBot="1">
      <c r="A76" s="55" t="s">
        <v>337</v>
      </c>
      <c r="B76" s="56" t="s">
        <v>313</v>
      </c>
      <c r="C76" s="63"/>
      <c r="D76" s="63"/>
      <c r="E76" s="63"/>
      <c r="F76" s="63"/>
      <c r="G76" s="63"/>
      <c r="H76" s="63"/>
      <c r="I76" s="63"/>
    </row>
    <row r="77" spans="1:9" s="47" customFormat="1" ht="12" customHeight="1" thickBot="1">
      <c r="A77" s="67" t="s">
        <v>314</v>
      </c>
      <c r="B77" s="57" t="s">
        <v>315</v>
      </c>
      <c r="C77" s="46">
        <f t="shared" ref="C77:H77" si="13">SUM(C78:C79)</f>
        <v>0</v>
      </c>
      <c r="D77" s="46">
        <f t="shared" si="13"/>
        <v>0</v>
      </c>
      <c r="E77" s="46">
        <f t="shared" si="13"/>
        <v>0</v>
      </c>
      <c r="F77" s="46">
        <f t="shared" si="13"/>
        <v>0</v>
      </c>
      <c r="G77" s="46">
        <f t="shared" si="13"/>
        <v>0</v>
      </c>
      <c r="H77" s="46">
        <f t="shared" si="13"/>
        <v>0</v>
      </c>
      <c r="I77" s="46">
        <f>SUM(I78:I79)</f>
        <v>0</v>
      </c>
    </row>
    <row r="78" spans="1:9" s="47" customFormat="1" ht="12" customHeight="1">
      <c r="A78" s="48" t="s">
        <v>338</v>
      </c>
      <c r="B78" s="49" t="s">
        <v>316</v>
      </c>
      <c r="C78" s="63"/>
      <c r="D78" s="63"/>
      <c r="E78" s="63"/>
      <c r="F78" s="63"/>
      <c r="G78" s="63"/>
      <c r="H78" s="63"/>
      <c r="I78" s="63"/>
    </row>
    <row r="79" spans="1:9" s="47" customFormat="1" ht="12" customHeight="1" thickBot="1">
      <c r="A79" s="55" t="s">
        <v>339</v>
      </c>
      <c r="B79" s="56" t="s">
        <v>317</v>
      </c>
      <c r="C79" s="63"/>
      <c r="D79" s="63"/>
      <c r="E79" s="63"/>
      <c r="F79" s="63"/>
      <c r="G79" s="63"/>
      <c r="H79" s="63"/>
      <c r="I79" s="63"/>
    </row>
    <row r="80" spans="1:9" s="47" customFormat="1" ht="12" customHeight="1" thickBot="1">
      <c r="A80" s="67" t="s">
        <v>318</v>
      </c>
      <c r="B80" s="57" t="s">
        <v>319</v>
      </c>
      <c r="C80" s="46">
        <f t="shared" ref="C80:H80" si="14">SUM(C81:C83)</f>
        <v>0</v>
      </c>
      <c r="D80" s="46">
        <f t="shared" si="14"/>
        <v>0</v>
      </c>
      <c r="E80" s="46">
        <f t="shared" si="14"/>
        <v>0</v>
      </c>
      <c r="F80" s="46">
        <f t="shared" si="14"/>
        <v>0</v>
      </c>
      <c r="G80" s="46">
        <f t="shared" si="14"/>
        <v>0</v>
      </c>
      <c r="H80" s="46">
        <f t="shared" si="14"/>
        <v>0</v>
      </c>
      <c r="I80" s="46">
        <f>SUM(I81:I83)</f>
        <v>0</v>
      </c>
    </row>
    <row r="81" spans="1:9" s="47" customFormat="1" ht="12" customHeight="1">
      <c r="A81" s="48" t="s">
        <v>340</v>
      </c>
      <c r="B81" s="49" t="s">
        <v>320</v>
      </c>
      <c r="C81" s="63"/>
      <c r="D81" s="63"/>
      <c r="E81" s="63"/>
      <c r="F81" s="63"/>
      <c r="G81" s="63"/>
      <c r="H81" s="63"/>
      <c r="I81" s="63"/>
    </row>
    <row r="82" spans="1:9" s="47" customFormat="1" ht="12" customHeight="1">
      <c r="A82" s="51" t="s">
        <v>341</v>
      </c>
      <c r="B82" s="52" t="s">
        <v>321</v>
      </c>
      <c r="C82" s="63"/>
      <c r="D82" s="63"/>
      <c r="E82" s="63"/>
      <c r="F82" s="63"/>
      <c r="G82" s="63"/>
      <c r="H82" s="63"/>
      <c r="I82" s="63"/>
    </row>
    <row r="83" spans="1:9" s="47" customFormat="1" ht="12" customHeight="1" thickBot="1">
      <c r="A83" s="55" t="s">
        <v>342</v>
      </c>
      <c r="B83" s="56" t="s">
        <v>322</v>
      </c>
      <c r="C83" s="63"/>
      <c r="D83" s="63"/>
      <c r="E83" s="63"/>
      <c r="F83" s="63"/>
      <c r="G83" s="63"/>
      <c r="H83" s="63"/>
      <c r="I83" s="63"/>
    </row>
    <row r="84" spans="1:9" s="47" customFormat="1" ht="12" customHeight="1" thickBot="1">
      <c r="A84" s="67" t="s">
        <v>323</v>
      </c>
      <c r="B84" s="57" t="s">
        <v>343</v>
      </c>
      <c r="C84" s="46">
        <f t="shared" ref="C84:H84" si="15">SUM(C85:C88)</f>
        <v>0</v>
      </c>
      <c r="D84" s="46">
        <f t="shared" si="15"/>
        <v>0</v>
      </c>
      <c r="E84" s="46">
        <f t="shared" si="15"/>
        <v>0</v>
      </c>
      <c r="F84" s="46">
        <f t="shared" si="15"/>
        <v>0</v>
      </c>
      <c r="G84" s="46">
        <f t="shared" si="15"/>
        <v>0</v>
      </c>
      <c r="H84" s="46">
        <f t="shared" si="15"/>
        <v>0</v>
      </c>
      <c r="I84" s="46">
        <f>SUM(I85:I88)</f>
        <v>0</v>
      </c>
    </row>
    <row r="85" spans="1:9" s="47" customFormat="1" ht="12" customHeight="1">
      <c r="A85" s="69" t="s">
        <v>324</v>
      </c>
      <c r="B85" s="49" t="s">
        <v>325</v>
      </c>
      <c r="C85" s="63"/>
      <c r="D85" s="63"/>
      <c r="E85" s="63"/>
      <c r="F85" s="63"/>
      <c r="G85" s="63"/>
      <c r="H85" s="63"/>
      <c r="I85" s="63"/>
    </row>
    <row r="86" spans="1:9" s="47" customFormat="1" ht="12" customHeight="1">
      <c r="A86" s="70" t="s">
        <v>326</v>
      </c>
      <c r="B86" s="52" t="s">
        <v>327</v>
      </c>
      <c r="C86" s="63"/>
      <c r="D86" s="63"/>
      <c r="E86" s="63"/>
      <c r="F86" s="63"/>
      <c r="G86" s="63"/>
      <c r="H86" s="63"/>
      <c r="I86" s="63"/>
    </row>
    <row r="87" spans="1:9" s="47" customFormat="1" ht="12" customHeight="1">
      <c r="A87" s="70" t="s">
        <v>328</v>
      </c>
      <c r="B87" s="52" t="s">
        <v>329</v>
      </c>
      <c r="C87" s="63"/>
      <c r="D87" s="63"/>
      <c r="E87" s="63"/>
      <c r="F87" s="63"/>
      <c r="G87" s="63"/>
      <c r="H87" s="63"/>
      <c r="I87" s="63"/>
    </row>
    <row r="88" spans="1:9" s="47" customFormat="1" ht="12" customHeight="1" thickBot="1">
      <c r="A88" s="71" t="s">
        <v>330</v>
      </c>
      <c r="B88" s="56" t="s">
        <v>331</v>
      </c>
      <c r="C88" s="63"/>
      <c r="D88" s="63"/>
      <c r="E88" s="63"/>
      <c r="F88" s="63"/>
      <c r="G88" s="63"/>
      <c r="H88" s="63"/>
      <c r="I88" s="63"/>
    </row>
    <row r="89" spans="1:9" s="47" customFormat="1" ht="12" customHeight="1" thickBot="1">
      <c r="A89" s="67" t="s">
        <v>332</v>
      </c>
      <c r="B89" s="57" t="s">
        <v>473</v>
      </c>
      <c r="C89" s="72"/>
      <c r="D89" s="72"/>
      <c r="E89" s="72"/>
      <c r="F89" s="72"/>
      <c r="G89" s="72"/>
      <c r="H89" s="72"/>
      <c r="I89" s="72"/>
    </row>
    <row r="90" spans="1:9" s="47" customFormat="1" ht="13.5" customHeight="1" thickBot="1">
      <c r="A90" s="67" t="s">
        <v>334</v>
      </c>
      <c r="B90" s="57" t="s">
        <v>333</v>
      </c>
      <c r="C90" s="72"/>
      <c r="D90" s="72"/>
      <c r="E90" s="72"/>
      <c r="F90" s="72"/>
      <c r="G90" s="72"/>
      <c r="H90" s="72"/>
      <c r="I90" s="72"/>
    </row>
    <row r="91" spans="1:9" s="47" customFormat="1" ht="15.75" customHeight="1" thickBot="1">
      <c r="A91" s="67" t="s">
        <v>346</v>
      </c>
      <c r="B91" s="73" t="s">
        <v>476</v>
      </c>
      <c r="C91" s="60">
        <f t="shared" ref="C91:H91" si="16">+C68+C72+C77+C80+C84+C90+C89</f>
        <v>0</v>
      </c>
      <c r="D91" s="60">
        <f t="shared" si="16"/>
        <v>0</v>
      </c>
      <c r="E91" s="60">
        <f t="shared" si="16"/>
        <v>0</v>
      </c>
      <c r="F91" s="60">
        <f t="shared" si="16"/>
        <v>0</v>
      </c>
      <c r="G91" s="60">
        <f t="shared" si="16"/>
        <v>0</v>
      </c>
      <c r="H91" s="60">
        <f t="shared" si="16"/>
        <v>0</v>
      </c>
      <c r="I91" s="60">
        <f>+I68+I72+I77+I80+I84+I90+I89</f>
        <v>0</v>
      </c>
    </row>
    <row r="92" spans="1:9" s="47" customFormat="1" ht="16.5" customHeight="1" thickBot="1">
      <c r="A92" s="74" t="s">
        <v>475</v>
      </c>
      <c r="B92" s="75" t="s">
        <v>477</v>
      </c>
      <c r="C92" s="60">
        <f t="shared" ref="C92:H92" si="17">+C67+C91</f>
        <v>98776182.030000001</v>
      </c>
      <c r="D92" s="60">
        <f t="shared" si="17"/>
        <v>98776182.030000001</v>
      </c>
      <c r="E92" s="60">
        <f t="shared" si="17"/>
        <v>107347927</v>
      </c>
      <c r="F92" s="60">
        <f t="shared" si="17"/>
        <v>107347927</v>
      </c>
      <c r="G92" s="60">
        <f t="shared" si="17"/>
        <v>121860759</v>
      </c>
      <c r="H92" s="60">
        <f t="shared" si="17"/>
        <v>119311869</v>
      </c>
      <c r="I92" s="60">
        <f>+I67+I91</f>
        <v>119311869</v>
      </c>
    </row>
    <row r="93" spans="1:9" s="47" customFormat="1" ht="83.25" customHeight="1">
      <c r="A93" s="76"/>
      <c r="B93" s="77"/>
      <c r="C93" s="78"/>
      <c r="D93" s="78"/>
      <c r="F93" s="78"/>
      <c r="G93" s="78"/>
      <c r="H93" s="78"/>
      <c r="I93" s="78"/>
    </row>
    <row r="94" spans="1:9" s="36" customFormat="1" ht="16.5" customHeight="1">
      <c r="A94" s="735" t="s">
        <v>44</v>
      </c>
      <c r="B94" s="735"/>
    </row>
    <row r="95" spans="1:9" s="80" customFormat="1" ht="16.5" customHeight="1" thickBot="1">
      <c r="A95" s="736" t="s">
        <v>145</v>
      </c>
      <c r="B95" s="736"/>
      <c r="C95" s="79"/>
      <c r="D95" s="79"/>
      <c r="E95" s="79"/>
      <c r="F95" s="79"/>
      <c r="G95" s="79"/>
      <c r="H95" s="79"/>
      <c r="I95" s="79"/>
    </row>
    <row r="96" spans="1:9" s="36" customFormat="1" ht="38.1" customHeight="1" thickBot="1">
      <c r="A96" s="38" t="s">
        <v>66</v>
      </c>
      <c r="B96" s="39" t="s">
        <v>45</v>
      </c>
      <c r="C96" s="9" t="str">
        <f>+C8</f>
        <v>Eredeti előirányzat (2018.01)</v>
      </c>
      <c r="D96" s="9" t="str">
        <f>+D8</f>
        <v>Módosított előirányzat (2018.03)</v>
      </c>
      <c r="E96" s="9" t="str">
        <f>+E8</f>
        <v>Módosított előirányzat (2018.06)</v>
      </c>
      <c r="F96" s="9" t="str">
        <f>+F8</f>
        <v>Módosított előirányzat (2018.08)</v>
      </c>
      <c r="G96" s="9" t="str">
        <f>+G8</f>
        <v>Módosított előirányzat (2018.09)</v>
      </c>
      <c r="H96" s="9" t="s">
        <v>773</v>
      </c>
      <c r="I96" s="9" t="s">
        <v>773</v>
      </c>
    </row>
    <row r="97" spans="1:9" s="43" customFormat="1" ht="12" customHeight="1" thickBot="1">
      <c r="A97" s="81" t="s">
        <v>485</v>
      </c>
      <c r="B97" s="82" t="s">
        <v>486</v>
      </c>
      <c r="C97" s="83" t="s">
        <v>487</v>
      </c>
      <c r="D97" s="83" t="s">
        <v>487</v>
      </c>
      <c r="E97" s="83" t="s">
        <v>487</v>
      </c>
      <c r="F97" s="83" t="s">
        <v>487</v>
      </c>
      <c r="G97" s="83" t="s">
        <v>487</v>
      </c>
      <c r="H97" s="83" t="s">
        <v>487</v>
      </c>
      <c r="I97" s="83" t="s">
        <v>487</v>
      </c>
    </row>
    <row r="98" spans="1:9" s="36" customFormat="1" ht="12" customHeight="1" thickBot="1">
      <c r="A98" s="84" t="s">
        <v>16</v>
      </c>
      <c r="B98" s="85" t="s">
        <v>653</v>
      </c>
      <c r="C98" s="86">
        <f t="shared" ref="C98:H98" si="18">C99+C100+C101+C102+C103+C116</f>
        <v>76932182</v>
      </c>
      <c r="D98" s="86">
        <f t="shared" si="18"/>
        <v>76932182</v>
      </c>
      <c r="E98" s="86">
        <f t="shared" si="18"/>
        <v>84503927</v>
      </c>
      <c r="F98" s="86">
        <f t="shared" si="18"/>
        <v>84503927</v>
      </c>
      <c r="G98" s="86">
        <f t="shared" si="18"/>
        <v>99016759</v>
      </c>
      <c r="H98" s="86">
        <f t="shared" si="18"/>
        <v>99016759</v>
      </c>
      <c r="I98" s="86">
        <f>I99+I100+I101+I102+I103+I116</f>
        <v>99016759</v>
      </c>
    </row>
    <row r="99" spans="1:9" s="36" customFormat="1" ht="12" customHeight="1">
      <c r="A99" s="87" t="s">
        <v>95</v>
      </c>
      <c r="B99" s="17" t="s">
        <v>46</v>
      </c>
      <c r="C99" s="88">
        <v>13518800</v>
      </c>
      <c r="D99" s="88">
        <v>13518800</v>
      </c>
      <c r="E99" s="88">
        <f>13518800+2595000-3120000</f>
        <v>12993800</v>
      </c>
      <c r="F99" s="88">
        <f>13518800+2595000-3120000</f>
        <v>12993800</v>
      </c>
      <c r="G99" s="88">
        <v>13799517</v>
      </c>
      <c r="H99" s="88">
        <v>13799517</v>
      </c>
      <c r="I99" s="88">
        <v>13799517</v>
      </c>
    </row>
    <row r="100" spans="1:9" s="36" customFormat="1" ht="12" customHeight="1">
      <c r="A100" s="51" t="s">
        <v>96</v>
      </c>
      <c r="B100" s="18" t="s">
        <v>174</v>
      </c>
      <c r="C100" s="53">
        <v>2792432</v>
      </c>
      <c r="D100" s="53">
        <v>2792432</v>
      </c>
      <c r="E100" s="53">
        <f>2792432+506025-608400</f>
        <v>2690057</v>
      </c>
      <c r="F100" s="53">
        <f>2792432+506025-608400</f>
        <v>2690057</v>
      </c>
      <c r="G100" s="53">
        <v>2847172</v>
      </c>
      <c r="H100" s="53">
        <v>2847172</v>
      </c>
      <c r="I100" s="53">
        <v>2847172</v>
      </c>
    </row>
    <row r="101" spans="1:9" s="36" customFormat="1" ht="12" customHeight="1">
      <c r="A101" s="51" t="s">
        <v>97</v>
      </c>
      <c r="B101" s="18" t="s">
        <v>133</v>
      </c>
      <c r="C101" s="58">
        <v>60620950</v>
      </c>
      <c r="D101" s="58">
        <v>60620950</v>
      </c>
      <c r="E101" s="58">
        <f>60620950+190500+6502400+1506220</f>
        <v>68820070</v>
      </c>
      <c r="F101" s="58">
        <f>60620950+190500+6502400+1506220</f>
        <v>68820070</v>
      </c>
      <c r="G101" s="58">
        <v>82370070</v>
      </c>
      <c r="H101" s="58">
        <v>82370070</v>
      </c>
      <c r="I101" s="58">
        <v>82370070</v>
      </c>
    </row>
    <row r="102" spans="1:9" s="36" customFormat="1" ht="12" customHeight="1">
      <c r="A102" s="51" t="s">
        <v>98</v>
      </c>
      <c r="B102" s="89" t="s">
        <v>175</v>
      </c>
      <c r="C102" s="58"/>
      <c r="D102" s="58"/>
      <c r="E102" s="58"/>
      <c r="F102" s="58"/>
      <c r="G102" s="58"/>
      <c r="H102" s="58"/>
      <c r="I102" s="58"/>
    </row>
    <row r="103" spans="1:9" s="36" customFormat="1" ht="12" customHeight="1">
      <c r="A103" s="51" t="s">
        <v>109</v>
      </c>
      <c r="B103" s="90" t="s">
        <v>176</v>
      </c>
      <c r="C103" s="58">
        <f t="shared" ref="C103:H103" si="19">C104+C105+C106+C107+C108+C110+C111+C112+C113+C114+C115</f>
        <v>0</v>
      </c>
      <c r="D103" s="58">
        <f t="shared" si="19"/>
        <v>0</v>
      </c>
      <c r="E103" s="58">
        <f t="shared" si="19"/>
        <v>0</v>
      </c>
      <c r="F103" s="58">
        <f t="shared" si="19"/>
        <v>0</v>
      </c>
      <c r="G103" s="58">
        <f t="shared" si="19"/>
        <v>0</v>
      </c>
      <c r="H103" s="58">
        <f t="shared" si="19"/>
        <v>0</v>
      </c>
      <c r="I103" s="58">
        <f>I104+I105+I106+I107+I108+I110+I111+I112+I113+I114+I115</f>
        <v>0</v>
      </c>
    </row>
    <row r="104" spans="1:9" s="36" customFormat="1" ht="12" customHeight="1">
      <c r="A104" s="51" t="s">
        <v>99</v>
      </c>
      <c r="B104" s="18" t="s">
        <v>440</v>
      </c>
      <c r="C104" s="58"/>
      <c r="D104" s="58"/>
      <c r="E104" s="58"/>
      <c r="F104" s="58"/>
      <c r="G104" s="58"/>
      <c r="H104" s="58"/>
      <c r="I104" s="58"/>
    </row>
    <row r="105" spans="1:9" s="36" customFormat="1" ht="12" customHeight="1">
      <c r="A105" s="51" t="s">
        <v>100</v>
      </c>
      <c r="B105" s="91" t="s">
        <v>439</v>
      </c>
      <c r="C105" s="58"/>
      <c r="D105" s="58"/>
      <c r="E105" s="58"/>
      <c r="F105" s="58"/>
      <c r="G105" s="58"/>
      <c r="H105" s="58"/>
      <c r="I105" s="58"/>
    </row>
    <row r="106" spans="1:9" s="36" customFormat="1" ht="12" customHeight="1">
      <c r="A106" s="51" t="s">
        <v>110</v>
      </c>
      <c r="B106" s="91" t="s">
        <v>438</v>
      </c>
      <c r="C106" s="58"/>
      <c r="D106" s="58"/>
      <c r="E106" s="58"/>
      <c r="F106" s="58"/>
      <c r="G106" s="58"/>
      <c r="H106" s="58"/>
      <c r="I106" s="58"/>
    </row>
    <row r="107" spans="1:9" s="36" customFormat="1" ht="12" customHeight="1">
      <c r="A107" s="51" t="s">
        <v>111</v>
      </c>
      <c r="B107" s="92" t="s">
        <v>349</v>
      </c>
      <c r="C107" s="58"/>
      <c r="D107" s="58"/>
      <c r="E107" s="58"/>
      <c r="F107" s="58"/>
      <c r="G107" s="58"/>
      <c r="H107" s="58"/>
      <c r="I107" s="58"/>
    </row>
    <row r="108" spans="1:9" s="36" customFormat="1" ht="12" customHeight="1">
      <c r="A108" s="51" t="s">
        <v>112</v>
      </c>
      <c r="B108" s="93" t="s">
        <v>350</v>
      </c>
      <c r="C108" s="58"/>
      <c r="D108" s="58"/>
      <c r="E108" s="58"/>
      <c r="F108" s="58"/>
      <c r="G108" s="58"/>
      <c r="H108" s="58"/>
      <c r="I108" s="58"/>
    </row>
    <row r="109" spans="1:9" s="36" customFormat="1" ht="12" customHeight="1">
      <c r="A109" s="51" t="s">
        <v>113</v>
      </c>
      <c r="B109" s="93" t="s">
        <v>351</v>
      </c>
      <c r="C109" s="58"/>
      <c r="D109" s="58"/>
      <c r="E109" s="58"/>
      <c r="F109" s="58"/>
      <c r="G109" s="58"/>
      <c r="H109" s="58"/>
      <c r="I109" s="58"/>
    </row>
    <row r="110" spans="1:9" s="36" customFormat="1" ht="12" customHeight="1">
      <c r="A110" s="51" t="s">
        <v>115</v>
      </c>
      <c r="B110" s="92" t="s">
        <v>352</v>
      </c>
      <c r="C110" s="58"/>
      <c r="D110" s="58"/>
      <c r="E110" s="58"/>
      <c r="F110" s="58"/>
      <c r="G110" s="58"/>
      <c r="H110" s="58"/>
      <c r="I110" s="58"/>
    </row>
    <row r="111" spans="1:9" s="36" customFormat="1" ht="12" customHeight="1">
      <c r="A111" s="51" t="s">
        <v>177</v>
      </c>
      <c r="B111" s="92" t="s">
        <v>353</v>
      </c>
      <c r="C111" s="58"/>
      <c r="D111" s="58"/>
      <c r="E111" s="58"/>
      <c r="F111" s="58"/>
      <c r="G111" s="58"/>
      <c r="H111" s="58"/>
      <c r="I111" s="58"/>
    </row>
    <row r="112" spans="1:9" s="36" customFormat="1" ht="12" customHeight="1">
      <c r="A112" s="51" t="s">
        <v>347</v>
      </c>
      <c r="B112" s="93" t="s">
        <v>354</v>
      </c>
      <c r="C112" s="58"/>
      <c r="D112" s="58"/>
      <c r="E112" s="58"/>
      <c r="F112" s="58"/>
      <c r="G112" s="58"/>
      <c r="H112" s="58"/>
      <c r="I112" s="58"/>
    </row>
    <row r="113" spans="1:9" s="36" customFormat="1" ht="12" customHeight="1">
      <c r="A113" s="94" t="s">
        <v>348</v>
      </c>
      <c r="B113" s="91" t="s">
        <v>355</v>
      </c>
      <c r="C113" s="58"/>
      <c r="D113" s="58"/>
      <c r="E113" s="58"/>
      <c r="F113" s="58"/>
      <c r="G113" s="58"/>
      <c r="H113" s="58"/>
      <c r="I113" s="58"/>
    </row>
    <row r="114" spans="1:9" s="36" customFormat="1" ht="12" customHeight="1">
      <c r="A114" s="51" t="s">
        <v>436</v>
      </c>
      <c r="B114" s="91" t="s">
        <v>356</v>
      </c>
      <c r="C114" s="58"/>
      <c r="D114" s="58"/>
      <c r="E114" s="58"/>
      <c r="F114" s="58"/>
      <c r="G114" s="58"/>
      <c r="H114" s="58"/>
      <c r="I114" s="58"/>
    </row>
    <row r="115" spans="1:9" s="36" customFormat="1" ht="12" customHeight="1">
      <c r="A115" s="55" t="s">
        <v>437</v>
      </c>
      <c r="B115" s="91" t="s">
        <v>357</v>
      </c>
      <c r="C115" s="58"/>
      <c r="D115" s="58"/>
      <c r="E115" s="58"/>
      <c r="F115" s="58"/>
      <c r="G115" s="58"/>
      <c r="H115" s="58"/>
      <c r="I115" s="58"/>
    </row>
    <row r="116" spans="1:9" s="36" customFormat="1" ht="12" customHeight="1">
      <c r="A116" s="51" t="s">
        <v>441</v>
      </c>
      <c r="B116" s="89" t="s">
        <v>47</v>
      </c>
      <c r="C116" s="53">
        <f t="shared" ref="C116:H116" si="20">C117+C118</f>
        <v>0</v>
      </c>
      <c r="D116" s="53">
        <f t="shared" si="20"/>
        <v>0</v>
      </c>
      <c r="E116" s="53">
        <f t="shared" si="20"/>
        <v>0</v>
      </c>
      <c r="F116" s="53">
        <f t="shared" si="20"/>
        <v>0</v>
      </c>
      <c r="G116" s="53">
        <f t="shared" si="20"/>
        <v>0</v>
      </c>
      <c r="H116" s="53">
        <f t="shared" si="20"/>
        <v>0</v>
      </c>
      <c r="I116" s="53">
        <f>I117+I118</f>
        <v>0</v>
      </c>
    </row>
    <row r="117" spans="1:9" s="36" customFormat="1" ht="12" customHeight="1">
      <c r="A117" s="51" t="s">
        <v>442</v>
      </c>
      <c r="B117" s="18" t="s">
        <v>444</v>
      </c>
      <c r="C117" s="53"/>
      <c r="D117" s="53"/>
      <c r="E117" s="53"/>
      <c r="F117" s="53"/>
      <c r="G117" s="53"/>
      <c r="H117" s="53"/>
      <c r="I117" s="53"/>
    </row>
    <row r="118" spans="1:9" s="36" customFormat="1" ht="12" customHeight="1">
      <c r="A118" s="51" t="s">
        <v>443</v>
      </c>
      <c r="B118" s="128" t="s">
        <v>445</v>
      </c>
      <c r="C118" s="53"/>
      <c r="D118" s="53"/>
      <c r="E118" s="53"/>
      <c r="F118" s="53"/>
      <c r="G118" s="53"/>
      <c r="H118" s="53"/>
      <c r="I118" s="53"/>
    </row>
    <row r="119" spans="1:9" s="36" customFormat="1" ht="12" customHeight="1" thickBot="1">
      <c r="A119" s="98" t="s">
        <v>17</v>
      </c>
      <c r="B119" s="99" t="s">
        <v>654</v>
      </c>
      <c r="C119" s="100">
        <f t="shared" ref="C119:H119" si="21">+C120+C122+C124</f>
        <v>21844000</v>
      </c>
      <c r="D119" s="100">
        <f t="shared" si="21"/>
        <v>21844000</v>
      </c>
      <c r="E119" s="100">
        <f t="shared" si="21"/>
        <v>22844000</v>
      </c>
      <c r="F119" s="100">
        <f t="shared" si="21"/>
        <v>22844000</v>
      </c>
      <c r="G119" s="100">
        <f t="shared" si="21"/>
        <v>22844000</v>
      </c>
      <c r="H119" s="100">
        <f t="shared" si="21"/>
        <v>20295110</v>
      </c>
      <c r="I119" s="100">
        <f>+I120+I122+I124</f>
        <v>20295110</v>
      </c>
    </row>
    <row r="120" spans="1:9" s="36" customFormat="1" ht="12" customHeight="1">
      <c r="A120" s="48" t="s">
        <v>101</v>
      </c>
      <c r="B120" s="18" t="s">
        <v>219</v>
      </c>
      <c r="C120" s="50">
        <v>15494000</v>
      </c>
      <c r="D120" s="50">
        <v>15494000</v>
      </c>
      <c r="E120" s="50">
        <f>15494000+1000000-76200</f>
        <v>16417800</v>
      </c>
      <c r="F120" s="50">
        <f>15494000+1000000-76200</f>
        <v>16417800</v>
      </c>
      <c r="G120" s="50">
        <f>15494000+1000000-76200</f>
        <v>16417800</v>
      </c>
      <c r="H120" s="50">
        <f>15494000+1000000-76200-635000</f>
        <v>15782800</v>
      </c>
      <c r="I120" s="50">
        <f>15494000+1000000-76200-635000</f>
        <v>15782800</v>
      </c>
    </row>
    <row r="121" spans="1:9" s="36" customFormat="1" ht="12" customHeight="1">
      <c r="A121" s="48" t="s">
        <v>102</v>
      </c>
      <c r="B121" s="101" t="s">
        <v>361</v>
      </c>
      <c r="C121" s="50"/>
      <c r="D121" s="50"/>
      <c r="E121" s="50"/>
      <c r="F121" s="50"/>
      <c r="G121" s="50"/>
      <c r="H121" s="50"/>
      <c r="I121" s="50"/>
    </row>
    <row r="122" spans="1:9" s="36" customFormat="1" ht="12" customHeight="1">
      <c r="A122" s="48" t="s">
        <v>103</v>
      </c>
      <c r="B122" s="101" t="s">
        <v>178</v>
      </c>
      <c r="C122" s="53">
        <v>6350000</v>
      </c>
      <c r="D122" s="53">
        <v>6350000</v>
      </c>
      <c r="E122" s="53">
        <f>6350000+76200</f>
        <v>6426200</v>
      </c>
      <c r="F122" s="53">
        <f>6350000+76200</f>
        <v>6426200</v>
      </c>
      <c r="G122" s="53">
        <f>6350000+76200</f>
        <v>6426200</v>
      </c>
      <c r="H122" s="53">
        <v>4512310</v>
      </c>
      <c r="I122" s="53">
        <v>4512310</v>
      </c>
    </row>
    <row r="123" spans="1:9" s="36" customFormat="1" ht="12" customHeight="1">
      <c r="A123" s="48" t="s">
        <v>104</v>
      </c>
      <c r="B123" s="101" t="s">
        <v>362</v>
      </c>
      <c r="C123" s="102"/>
      <c r="D123" s="102"/>
      <c r="E123" s="102"/>
      <c r="F123" s="102"/>
      <c r="G123" s="102"/>
      <c r="H123" s="102"/>
      <c r="I123" s="102"/>
    </row>
    <row r="124" spans="1:9" s="36" customFormat="1" ht="12" customHeight="1">
      <c r="A124" s="48" t="s">
        <v>105</v>
      </c>
      <c r="B124" s="56" t="s">
        <v>222</v>
      </c>
      <c r="C124" s="102">
        <f t="shared" ref="C124:H124" si="22">C125+C126+C127+C128+C129+C130+C131+C132</f>
        <v>0</v>
      </c>
      <c r="D124" s="102">
        <f t="shared" si="22"/>
        <v>0</v>
      </c>
      <c r="E124" s="102">
        <f t="shared" si="22"/>
        <v>0</v>
      </c>
      <c r="F124" s="102">
        <f t="shared" si="22"/>
        <v>0</v>
      </c>
      <c r="G124" s="102">
        <f t="shared" si="22"/>
        <v>0</v>
      </c>
      <c r="H124" s="102">
        <f t="shared" si="22"/>
        <v>0</v>
      </c>
      <c r="I124" s="102">
        <f>I125+I126+I127+I128+I129+I130+I131+I132</f>
        <v>0</v>
      </c>
    </row>
    <row r="125" spans="1:9" s="36" customFormat="1" ht="12" customHeight="1">
      <c r="A125" s="48" t="s">
        <v>114</v>
      </c>
      <c r="B125" s="54" t="s">
        <v>424</v>
      </c>
      <c r="C125" s="102"/>
      <c r="D125" s="102"/>
      <c r="E125" s="102"/>
      <c r="F125" s="102"/>
      <c r="G125" s="102"/>
      <c r="H125" s="102"/>
      <c r="I125" s="102"/>
    </row>
    <row r="126" spans="1:9" s="36" customFormat="1" ht="12" customHeight="1">
      <c r="A126" s="48" t="s">
        <v>116</v>
      </c>
      <c r="B126" s="103" t="s">
        <v>367</v>
      </c>
      <c r="C126" s="102"/>
      <c r="D126" s="102"/>
      <c r="E126" s="102"/>
      <c r="F126" s="102"/>
      <c r="G126" s="102"/>
      <c r="H126" s="102"/>
      <c r="I126" s="102"/>
    </row>
    <row r="127" spans="1:9" s="36" customFormat="1" ht="15.75">
      <c r="A127" s="48" t="s">
        <v>179</v>
      </c>
      <c r="B127" s="93" t="s">
        <v>351</v>
      </c>
      <c r="C127" s="102"/>
      <c r="D127" s="102"/>
      <c r="E127" s="102"/>
      <c r="F127" s="102"/>
      <c r="G127" s="102"/>
      <c r="H127" s="102"/>
      <c r="I127" s="102"/>
    </row>
    <row r="128" spans="1:9" s="36" customFormat="1" ht="12" customHeight="1">
      <c r="A128" s="48" t="s">
        <v>180</v>
      </c>
      <c r="B128" s="93" t="s">
        <v>366</v>
      </c>
      <c r="C128" s="102"/>
      <c r="D128" s="102"/>
      <c r="E128" s="102"/>
      <c r="F128" s="102"/>
      <c r="G128" s="102"/>
      <c r="H128" s="102"/>
      <c r="I128" s="102"/>
    </row>
    <row r="129" spans="1:9" s="36" customFormat="1" ht="12" customHeight="1">
      <c r="A129" s="48" t="s">
        <v>181</v>
      </c>
      <c r="B129" s="93" t="s">
        <v>365</v>
      </c>
      <c r="C129" s="102"/>
      <c r="D129" s="102"/>
      <c r="E129" s="102"/>
      <c r="F129" s="102"/>
      <c r="G129" s="102"/>
      <c r="H129" s="102"/>
      <c r="I129" s="102"/>
    </row>
    <row r="130" spans="1:9" s="36" customFormat="1" ht="12" customHeight="1">
      <c r="A130" s="48" t="s">
        <v>358</v>
      </c>
      <c r="B130" s="93" t="s">
        <v>354</v>
      </c>
      <c r="C130" s="102"/>
      <c r="D130" s="102"/>
      <c r="E130" s="102"/>
      <c r="F130" s="102"/>
      <c r="G130" s="102"/>
      <c r="H130" s="102"/>
      <c r="I130" s="102"/>
    </row>
    <row r="131" spans="1:9" s="36" customFormat="1" ht="12" customHeight="1">
      <c r="A131" s="48" t="s">
        <v>359</v>
      </c>
      <c r="B131" s="93" t="s">
        <v>364</v>
      </c>
      <c r="C131" s="102">
        <f t="shared" ref="C131:I131" si="23">2000000-2000000</f>
        <v>0</v>
      </c>
      <c r="D131" s="102">
        <f t="shared" si="23"/>
        <v>0</v>
      </c>
      <c r="E131" s="102">
        <f t="shared" si="23"/>
        <v>0</v>
      </c>
      <c r="F131" s="102">
        <f t="shared" si="23"/>
        <v>0</v>
      </c>
      <c r="G131" s="102">
        <f t="shared" si="23"/>
        <v>0</v>
      </c>
      <c r="H131" s="102">
        <f t="shared" si="23"/>
        <v>0</v>
      </c>
      <c r="I131" s="102">
        <f t="shared" si="23"/>
        <v>0</v>
      </c>
    </row>
    <row r="132" spans="1:9" s="36" customFormat="1" ht="16.5" thickBot="1">
      <c r="A132" s="94" t="s">
        <v>360</v>
      </c>
      <c r="B132" s="93" t="s">
        <v>363</v>
      </c>
      <c r="C132" s="104"/>
      <c r="D132" s="104"/>
      <c r="E132" s="104"/>
      <c r="F132" s="104"/>
      <c r="G132" s="104"/>
      <c r="H132" s="104"/>
      <c r="I132" s="104"/>
    </row>
    <row r="133" spans="1:9" s="36" customFormat="1" ht="12" customHeight="1" thickBot="1">
      <c r="A133" s="44" t="s">
        <v>18</v>
      </c>
      <c r="B133" s="21" t="s">
        <v>446</v>
      </c>
      <c r="C133" s="46">
        <f t="shared" ref="C133:H133" si="24">+C98+C119</f>
        <v>98776182</v>
      </c>
      <c r="D133" s="46">
        <f t="shared" si="24"/>
        <v>98776182</v>
      </c>
      <c r="E133" s="46">
        <f t="shared" si="24"/>
        <v>107347927</v>
      </c>
      <c r="F133" s="46">
        <f t="shared" si="24"/>
        <v>107347927</v>
      </c>
      <c r="G133" s="46">
        <f t="shared" si="24"/>
        <v>121860759</v>
      </c>
      <c r="H133" s="46">
        <f t="shared" si="24"/>
        <v>119311869</v>
      </c>
      <c r="I133" s="46">
        <f>+I98+I119</f>
        <v>119311869</v>
      </c>
    </row>
    <row r="134" spans="1:9" s="36" customFormat="1" ht="12" customHeight="1" thickBot="1">
      <c r="A134" s="44" t="s">
        <v>19</v>
      </c>
      <c r="B134" s="21" t="s">
        <v>447</v>
      </c>
      <c r="C134" s="46">
        <f t="shared" ref="C134:H134" si="25">+C135+C136+C137</f>
        <v>0</v>
      </c>
      <c r="D134" s="46">
        <f t="shared" si="25"/>
        <v>0</v>
      </c>
      <c r="E134" s="46">
        <f t="shared" si="25"/>
        <v>0</v>
      </c>
      <c r="F134" s="46">
        <f t="shared" si="25"/>
        <v>0</v>
      </c>
      <c r="G134" s="46">
        <f t="shared" si="25"/>
        <v>0</v>
      </c>
      <c r="H134" s="46">
        <f t="shared" si="25"/>
        <v>0</v>
      </c>
      <c r="I134" s="46">
        <f>+I135+I136+I137</f>
        <v>0</v>
      </c>
    </row>
    <row r="135" spans="1:9" s="36" customFormat="1" ht="12" customHeight="1">
      <c r="A135" s="48" t="s">
        <v>259</v>
      </c>
      <c r="B135" s="101" t="s">
        <v>454</v>
      </c>
      <c r="C135" s="102"/>
      <c r="D135" s="102"/>
      <c r="E135" s="102"/>
      <c r="F135" s="102"/>
      <c r="G135" s="102"/>
      <c r="H135" s="102"/>
      <c r="I135" s="102"/>
    </row>
    <row r="136" spans="1:9" s="36" customFormat="1" ht="12" customHeight="1">
      <c r="A136" s="48" t="s">
        <v>262</v>
      </c>
      <c r="B136" s="101" t="s">
        <v>455</v>
      </c>
      <c r="C136" s="102"/>
      <c r="D136" s="102"/>
      <c r="E136" s="102"/>
      <c r="F136" s="102"/>
      <c r="G136" s="102"/>
      <c r="H136" s="102"/>
      <c r="I136" s="102"/>
    </row>
    <row r="137" spans="1:9" s="36" customFormat="1" ht="12" customHeight="1" thickBot="1">
      <c r="A137" s="94" t="s">
        <v>263</v>
      </c>
      <c r="B137" s="101" t="s">
        <v>456</v>
      </c>
      <c r="C137" s="102"/>
      <c r="D137" s="102"/>
      <c r="E137" s="102"/>
      <c r="F137" s="102"/>
      <c r="G137" s="102"/>
      <c r="H137" s="102"/>
      <c r="I137" s="102"/>
    </row>
    <row r="138" spans="1:9" s="36" customFormat="1" ht="12" customHeight="1" thickBot="1">
      <c r="A138" s="44" t="s">
        <v>20</v>
      </c>
      <c r="B138" s="21" t="s">
        <v>448</v>
      </c>
      <c r="C138" s="46">
        <f t="shared" ref="C138:H138" si="26">SUM(C139:C144)</f>
        <v>0</v>
      </c>
      <c r="D138" s="46">
        <f t="shared" si="26"/>
        <v>0</v>
      </c>
      <c r="E138" s="46">
        <f t="shared" si="26"/>
        <v>0</v>
      </c>
      <c r="F138" s="46">
        <f t="shared" si="26"/>
        <v>0</v>
      </c>
      <c r="G138" s="46">
        <f t="shared" si="26"/>
        <v>0</v>
      </c>
      <c r="H138" s="46">
        <f t="shared" si="26"/>
        <v>0</v>
      </c>
      <c r="I138" s="46">
        <f>SUM(I139:I144)</f>
        <v>0</v>
      </c>
    </row>
    <row r="139" spans="1:9" s="36" customFormat="1" ht="12" customHeight="1">
      <c r="A139" s="48" t="s">
        <v>88</v>
      </c>
      <c r="B139" s="20" t="s">
        <v>457</v>
      </c>
      <c r="C139" s="102"/>
      <c r="D139" s="102"/>
      <c r="E139" s="102"/>
      <c r="F139" s="102"/>
      <c r="G139" s="102"/>
      <c r="H139" s="102"/>
      <c r="I139" s="102"/>
    </row>
    <row r="140" spans="1:9" s="36" customFormat="1" ht="12" customHeight="1">
      <c r="A140" s="48" t="s">
        <v>89</v>
      </c>
      <c r="B140" s="20" t="s">
        <v>449</v>
      </c>
      <c r="C140" s="102"/>
      <c r="D140" s="102"/>
      <c r="E140" s="102"/>
      <c r="F140" s="102"/>
      <c r="G140" s="102"/>
      <c r="H140" s="102"/>
      <c r="I140" s="102"/>
    </row>
    <row r="141" spans="1:9" s="36" customFormat="1" ht="12" customHeight="1">
      <c r="A141" s="48" t="s">
        <v>90</v>
      </c>
      <c r="B141" s="20" t="s">
        <v>450</v>
      </c>
      <c r="C141" s="102"/>
      <c r="D141" s="102"/>
      <c r="E141" s="102"/>
      <c r="F141" s="102"/>
      <c r="G141" s="102"/>
      <c r="H141" s="102"/>
      <c r="I141" s="102"/>
    </row>
    <row r="142" spans="1:9" s="36" customFormat="1" ht="12" customHeight="1">
      <c r="A142" s="48" t="s">
        <v>166</v>
      </c>
      <c r="B142" s="20" t="s">
        <v>451</v>
      </c>
      <c r="C142" s="102"/>
      <c r="D142" s="102"/>
      <c r="E142" s="102"/>
      <c r="F142" s="102"/>
      <c r="G142" s="102"/>
      <c r="H142" s="102"/>
      <c r="I142" s="102"/>
    </row>
    <row r="143" spans="1:9" s="36" customFormat="1" ht="12" customHeight="1">
      <c r="A143" s="48" t="s">
        <v>167</v>
      </c>
      <c r="B143" s="20" t="s">
        <v>452</v>
      </c>
      <c r="C143" s="102"/>
      <c r="D143" s="102"/>
      <c r="E143" s="102"/>
      <c r="F143" s="102"/>
      <c r="G143" s="102"/>
      <c r="H143" s="102"/>
      <c r="I143" s="102"/>
    </row>
    <row r="144" spans="1:9" s="36" customFormat="1" ht="12" customHeight="1" thickBot="1">
      <c r="A144" s="94" t="s">
        <v>168</v>
      </c>
      <c r="B144" s="20" t="s">
        <v>453</v>
      </c>
      <c r="C144" s="102"/>
      <c r="D144" s="102"/>
      <c r="E144" s="102"/>
      <c r="F144" s="102"/>
      <c r="G144" s="102"/>
      <c r="H144" s="102"/>
      <c r="I144" s="102"/>
    </row>
    <row r="145" spans="1:9" s="36" customFormat="1" ht="12" customHeight="1" thickBot="1">
      <c r="A145" s="44" t="s">
        <v>21</v>
      </c>
      <c r="B145" s="21" t="s">
        <v>461</v>
      </c>
      <c r="C145" s="60">
        <f t="shared" ref="C145:H145" si="27">+C146+C147+C148+C149</f>
        <v>0</v>
      </c>
      <c r="D145" s="60">
        <f t="shared" si="27"/>
        <v>0</v>
      </c>
      <c r="E145" s="60">
        <f t="shared" si="27"/>
        <v>0</v>
      </c>
      <c r="F145" s="60">
        <f t="shared" si="27"/>
        <v>0</v>
      </c>
      <c r="G145" s="60">
        <f t="shared" si="27"/>
        <v>0</v>
      </c>
      <c r="H145" s="60">
        <f t="shared" si="27"/>
        <v>0</v>
      </c>
      <c r="I145" s="60">
        <f>+I146+I147+I148+I149</f>
        <v>0</v>
      </c>
    </row>
    <row r="146" spans="1:9" s="36" customFormat="1" ht="12" customHeight="1">
      <c r="A146" s="48" t="s">
        <v>91</v>
      </c>
      <c r="B146" s="20" t="s">
        <v>368</v>
      </c>
      <c r="C146" s="102"/>
      <c r="D146" s="102"/>
      <c r="E146" s="102"/>
      <c r="F146" s="102"/>
      <c r="G146" s="102"/>
      <c r="H146" s="102"/>
      <c r="I146" s="102"/>
    </row>
    <row r="147" spans="1:9" s="36" customFormat="1" ht="12" customHeight="1">
      <c r="A147" s="48" t="s">
        <v>92</v>
      </c>
      <c r="B147" s="20" t="s">
        <v>369</v>
      </c>
      <c r="C147" s="102"/>
      <c r="D147" s="102"/>
      <c r="E147" s="102"/>
      <c r="F147" s="102"/>
      <c r="G147" s="102"/>
      <c r="H147" s="102"/>
      <c r="I147" s="102"/>
    </row>
    <row r="148" spans="1:9" s="36" customFormat="1" ht="12" customHeight="1">
      <c r="A148" s="48" t="s">
        <v>283</v>
      </c>
      <c r="B148" s="20" t="s">
        <v>462</v>
      </c>
      <c r="C148" s="102"/>
      <c r="D148" s="102"/>
      <c r="E148" s="102"/>
      <c r="F148" s="102"/>
      <c r="G148" s="102"/>
      <c r="H148" s="102"/>
      <c r="I148" s="102"/>
    </row>
    <row r="149" spans="1:9" s="36" customFormat="1" ht="12" customHeight="1" thickBot="1">
      <c r="A149" s="94" t="s">
        <v>284</v>
      </c>
      <c r="B149" s="19" t="s">
        <v>388</v>
      </c>
      <c r="C149" s="102"/>
      <c r="D149" s="102"/>
      <c r="E149" s="102"/>
      <c r="F149" s="102"/>
      <c r="G149" s="102"/>
      <c r="H149" s="102"/>
      <c r="I149" s="102"/>
    </row>
    <row r="150" spans="1:9" s="36" customFormat="1" ht="12" customHeight="1" thickBot="1">
      <c r="A150" s="44" t="s">
        <v>22</v>
      </c>
      <c r="B150" s="21" t="s">
        <v>463</v>
      </c>
      <c r="C150" s="105">
        <f t="shared" ref="C150:H150" si="28">SUM(C151:C155)</f>
        <v>0</v>
      </c>
      <c r="D150" s="105">
        <f t="shared" si="28"/>
        <v>0</v>
      </c>
      <c r="E150" s="105">
        <f t="shared" si="28"/>
        <v>0</v>
      </c>
      <c r="F150" s="105">
        <f t="shared" si="28"/>
        <v>0</v>
      </c>
      <c r="G150" s="105">
        <f t="shared" si="28"/>
        <v>0</v>
      </c>
      <c r="H150" s="105">
        <f t="shared" si="28"/>
        <v>0</v>
      </c>
      <c r="I150" s="105">
        <f>SUM(I151:I155)</f>
        <v>0</v>
      </c>
    </row>
    <row r="151" spans="1:9" s="36" customFormat="1" ht="12" customHeight="1">
      <c r="A151" s="48" t="s">
        <v>93</v>
      </c>
      <c r="B151" s="20" t="s">
        <v>458</v>
      </c>
      <c r="C151" s="102"/>
      <c r="D151" s="102"/>
      <c r="E151" s="102"/>
      <c r="F151" s="102"/>
      <c r="G151" s="102"/>
      <c r="H151" s="102"/>
      <c r="I151" s="102"/>
    </row>
    <row r="152" spans="1:9" s="36" customFormat="1" ht="12" customHeight="1">
      <c r="A152" s="48" t="s">
        <v>94</v>
      </c>
      <c r="B152" s="20" t="s">
        <v>465</v>
      </c>
      <c r="C152" s="102"/>
      <c r="D152" s="102"/>
      <c r="E152" s="102"/>
      <c r="F152" s="102"/>
      <c r="G152" s="102"/>
      <c r="H152" s="102"/>
      <c r="I152" s="102"/>
    </row>
    <row r="153" spans="1:9" s="36" customFormat="1" ht="12" customHeight="1">
      <c r="A153" s="48" t="s">
        <v>295</v>
      </c>
      <c r="B153" s="20" t="s">
        <v>460</v>
      </c>
      <c r="C153" s="102"/>
      <c r="D153" s="102"/>
      <c r="E153" s="102"/>
      <c r="F153" s="102"/>
      <c r="G153" s="102"/>
      <c r="H153" s="102"/>
      <c r="I153" s="102"/>
    </row>
    <row r="154" spans="1:9" s="36" customFormat="1" ht="12" customHeight="1">
      <c r="A154" s="48" t="s">
        <v>296</v>
      </c>
      <c r="B154" s="20" t="s">
        <v>466</v>
      </c>
      <c r="C154" s="102"/>
      <c r="D154" s="102"/>
      <c r="E154" s="102"/>
      <c r="F154" s="102"/>
      <c r="G154" s="102"/>
      <c r="H154" s="102"/>
      <c r="I154" s="102"/>
    </row>
    <row r="155" spans="1:9" s="36" customFormat="1" ht="12" customHeight="1" thickBot="1">
      <c r="A155" s="48" t="s">
        <v>464</v>
      </c>
      <c r="B155" s="20" t="s">
        <v>467</v>
      </c>
      <c r="C155" s="102"/>
      <c r="D155" s="102"/>
      <c r="E155" s="102"/>
      <c r="F155" s="102"/>
      <c r="G155" s="102"/>
      <c r="H155" s="102"/>
      <c r="I155" s="102"/>
    </row>
    <row r="156" spans="1:9" s="36" customFormat="1" ht="12" customHeight="1" thickBot="1">
      <c r="A156" s="44" t="s">
        <v>23</v>
      </c>
      <c r="B156" s="21" t="s">
        <v>468</v>
      </c>
      <c r="C156" s="106"/>
      <c r="D156" s="106"/>
      <c r="E156" s="106"/>
      <c r="F156" s="106"/>
      <c r="G156" s="106"/>
      <c r="H156" s="106"/>
      <c r="I156" s="106"/>
    </row>
    <row r="157" spans="1:9" s="36" customFormat="1" ht="12" customHeight="1" thickBot="1">
      <c r="A157" s="44" t="s">
        <v>24</v>
      </c>
      <c r="B157" s="21" t="s">
        <v>469</v>
      </c>
      <c r="C157" s="106"/>
      <c r="D157" s="106"/>
      <c r="E157" s="106"/>
      <c r="F157" s="106"/>
      <c r="G157" s="106"/>
      <c r="H157" s="106"/>
      <c r="I157" s="106"/>
    </row>
    <row r="158" spans="1:9" s="36" customFormat="1" ht="15" customHeight="1" thickBot="1">
      <c r="A158" s="44" t="s">
        <v>25</v>
      </c>
      <c r="B158" s="21" t="s">
        <v>471</v>
      </c>
      <c r="C158" s="107">
        <f t="shared" ref="C158:H158" si="29">+C134+C138+C145+C150+C156+C157</f>
        <v>0</v>
      </c>
      <c r="D158" s="107">
        <f t="shared" si="29"/>
        <v>0</v>
      </c>
      <c r="E158" s="107">
        <f t="shared" si="29"/>
        <v>0</v>
      </c>
      <c r="F158" s="107">
        <f t="shared" si="29"/>
        <v>0</v>
      </c>
      <c r="G158" s="107">
        <f t="shared" si="29"/>
        <v>0</v>
      </c>
      <c r="H158" s="107">
        <f t="shared" si="29"/>
        <v>0</v>
      </c>
      <c r="I158" s="107">
        <f>+I134+I138+I145+I150+I156+I157</f>
        <v>0</v>
      </c>
    </row>
    <row r="159" spans="1:9" s="47" customFormat="1" ht="12.95" customHeight="1" thickBot="1">
      <c r="A159" s="109" t="s">
        <v>26</v>
      </c>
      <c r="B159" s="110" t="s">
        <v>470</v>
      </c>
      <c r="C159" s="107">
        <f t="shared" ref="C159:H159" si="30">+C133+C158</f>
        <v>98776182</v>
      </c>
      <c r="D159" s="107">
        <f t="shared" si="30"/>
        <v>98776182</v>
      </c>
      <c r="E159" s="107">
        <f t="shared" si="30"/>
        <v>107347927</v>
      </c>
      <c r="F159" s="107">
        <f t="shared" si="30"/>
        <v>107347927</v>
      </c>
      <c r="G159" s="107">
        <f t="shared" si="30"/>
        <v>121860759</v>
      </c>
      <c r="H159" s="107">
        <f t="shared" si="30"/>
        <v>119311869</v>
      </c>
      <c r="I159" s="107">
        <f>+I133+I158</f>
        <v>119311869</v>
      </c>
    </row>
  </sheetData>
  <mergeCells count="4">
    <mergeCell ref="A6:B6"/>
    <mergeCell ref="A7:B7"/>
    <mergeCell ref="A94:B94"/>
    <mergeCell ref="A95:B95"/>
  </mergeCells>
  <phoneticPr fontId="6" type="noConversion"/>
  <printOptions horizontalCentered="1"/>
  <pageMargins left="0.19685039370078741" right="0.59055118110236227" top="1.1811023622047245" bottom="1.1811023622047245" header="0.78740157480314965" footer="0.59055118110236227"/>
  <pageSetup paperSize="9" scale="69" fitToHeight="2" orientation="landscape" r:id="rId1"/>
  <headerFooter alignWithMargins="0">
    <oddHeader>&amp;R&amp;"Times New Roman CE,Félkövér dőlt"&amp;11 1.3. melléklet a 2/2019. (II.28.) önkormányzati rendelethez</oddHeader>
    <oddFooter>&amp;P. oldal, összesen: &amp;N</oddFooter>
  </headerFooter>
  <rowBreaks count="4" manualBreakCount="4">
    <brk id="38" max="8" man="1"/>
    <brk id="56" max="8" man="1"/>
    <brk id="92" max="8" man="1"/>
    <brk id="133" max="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zoomScaleNormal="100" workbookViewId="0">
      <selection activeCell="B11" sqref="B11"/>
    </sheetView>
  </sheetViews>
  <sheetFormatPr defaultRowHeight="12.75"/>
  <cols>
    <col min="1" max="1" width="5.83203125" style="434" customWidth="1"/>
    <col min="2" max="2" width="54.83203125" style="121" customWidth="1"/>
    <col min="3" max="4" width="17.6640625" style="121" customWidth="1"/>
    <col min="5" max="16384" width="9.33203125" style="121"/>
  </cols>
  <sheetData>
    <row r="1" spans="1:4" ht="31.5" customHeight="1">
      <c r="B1" s="795" t="s">
        <v>7</v>
      </c>
      <c r="C1" s="795"/>
      <c r="D1" s="795"/>
    </row>
    <row r="2" spans="1:4" s="437" customFormat="1" ht="16.5" thickBot="1">
      <c r="A2" s="436"/>
      <c r="B2" s="435"/>
      <c r="D2" s="438" t="s">
        <v>588</v>
      </c>
    </row>
    <row r="3" spans="1:4" s="442" customFormat="1" ht="48" customHeight="1" thickBot="1">
      <c r="A3" s="439" t="s">
        <v>14</v>
      </c>
      <c r="B3" s="440" t="s">
        <v>15</v>
      </c>
      <c r="C3" s="440" t="s">
        <v>68</v>
      </c>
      <c r="D3" s="441" t="s">
        <v>69</v>
      </c>
    </row>
    <row r="4" spans="1:4" s="442" customFormat="1" ht="14.1" customHeight="1" thickBot="1">
      <c r="A4" s="443" t="s">
        <v>485</v>
      </c>
      <c r="B4" s="12" t="s">
        <v>486</v>
      </c>
      <c r="C4" s="12" t="s">
        <v>487</v>
      </c>
      <c r="D4" s="13" t="s">
        <v>489</v>
      </c>
    </row>
    <row r="5" spans="1:4" ht="18" customHeight="1">
      <c r="A5" s="444" t="s">
        <v>16</v>
      </c>
      <c r="B5" s="445" t="s">
        <v>158</v>
      </c>
      <c r="C5" s="446"/>
      <c r="D5" s="22"/>
    </row>
    <row r="6" spans="1:4" ht="18" customHeight="1">
      <c r="A6" s="447" t="s">
        <v>17</v>
      </c>
      <c r="B6" s="448" t="s">
        <v>159</v>
      </c>
      <c r="C6" s="449"/>
      <c r="D6" s="30"/>
    </row>
    <row r="7" spans="1:4" ht="18" customHeight="1">
      <c r="A7" s="447" t="s">
        <v>18</v>
      </c>
      <c r="B7" s="448" t="s">
        <v>117</v>
      </c>
      <c r="C7" s="449"/>
      <c r="D7" s="30"/>
    </row>
    <row r="8" spans="1:4" ht="18" customHeight="1">
      <c r="A8" s="447" t="s">
        <v>19</v>
      </c>
      <c r="B8" s="448" t="s">
        <v>118</v>
      </c>
      <c r="C8" s="449"/>
      <c r="D8" s="30"/>
    </row>
    <row r="9" spans="1:4" ht="18" customHeight="1">
      <c r="A9" s="447" t="s">
        <v>20</v>
      </c>
      <c r="B9" s="448" t="s">
        <v>151</v>
      </c>
      <c r="C9" s="449"/>
      <c r="D9" s="30"/>
    </row>
    <row r="10" spans="1:4" ht="18" customHeight="1">
      <c r="A10" s="447" t="s">
        <v>21</v>
      </c>
      <c r="B10" s="448" t="s">
        <v>152</v>
      </c>
      <c r="C10" s="449"/>
      <c r="D10" s="30"/>
    </row>
    <row r="11" spans="1:4" ht="18" customHeight="1">
      <c r="A11" s="447" t="s">
        <v>22</v>
      </c>
      <c r="B11" s="450" t="s">
        <v>153</v>
      </c>
      <c r="C11" s="449"/>
      <c r="D11" s="30"/>
    </row>
    <row r="12" spans="1:4" ht="18" customHeight="1">
      <c r="A12" s="447" t="s">
        <v>24</v>
      </c>
      <c r="B12" s="450" t="s">
        <v>154</v>
      </c>
      <c r="C12" s="449"/>
      <c r="D12" s="30"/>
    </row>
    <row r="13" spans="1:4" ht="18" customHeight="1">
      <c r="A13" s="447" t="s">
        <v>25</v>
      </c>
      <c r="B13" s="450" t="s">
        <v>155</v>
      </c>
      <c r="C13" s="449"/>
      <c r="D13" s="30"/>
    </row>
    <row r="14" spans="1:4" ht="18" customHeight="1">
      <c r="A14" s="447" t="s">
        <v>26</v>
      </c>
      <c r="B14" s="450" t="s">
        <v>156</v>
      </c>
      <c r="C14" s="449"/>
      <c r="D14" s="30"/>
    </row>
    <row r="15" spans="1:4" ht="22.5" customHeight="1">
      <c r="A15" s="447" t="s">
        <v>27</v>
      </c>
      <c r="B15" s="450" t="s">
        <v>157</v>
      </c>
      <c r="C15" s="449"/>
      <c r="D15" s="30"/>
    </row>
    <row r="16" spans="1:4" ht="18" customHeight="1">
      <c r="A16" s="447" t="s">
        <v>28</v>
      </c>
      <c r="B16" s="448" t="s">
        <v>119</v>
      </c>
      <c r="C16" s="449"/>
      <c r="D16" s="30"/>
    </row>
    <row r="17" spans="1:4" ht="18" customHeight="1">
      <c r="A17" s="447" t="s">
        <v>29</v>
      </c>
      <c r="B17" s="448" t="s">
        <v>9</v>
      </c>
      <c r="C17" s="449"/>
      <c r="D17" s="30"/>
    </row>
    <row r="18" spans="1:4" ht="18" customHeight="1">
      <c r="A18" s="447" t="s">
        <v>30</v>
      </c>
      <c r="B18" s="448" t="s">
        <v>8</v>
      </c>
      <c r="C18" s="449"/>
      <c r="D18" s="30"/>
    </row>
    <row r="19" spans="1:4" ht="18" customHeight="1">
      <c r="A19" s="447" t="s">
        <v>31</v>
      </c>
      <c r="B19" s="448" t="s">
        <v>120</v>
      </c>
      <c r="C19" s="449"/>
      <c r="D19" s="30"/>
    </row>
    <row r="20" spans="1:4" ht="18" customHeight="1">
      <c r="A20" s="447" t="s">
        <v>32</v>
      </c>
      <c r="B20" s="448" t="s">
        <v>121</v>
      </c>
      <c r="C20" s="449"/>
      <c r="D20" s="30"/>
    </row>
    <row r="21" spans="1:4" ht="18" customHeight="1">
      <c r="A21" s="447" t="s">
        <v>33</v>
      </c>
      <c r="B21" s="451"/>
      <c r="C21" s="202"/>
      <c r="D21" s="30"/>
    </row>
    <row r="22" spans="1:4" ht="18" customHeight="1">
      <c r="A22" s="447" t="s">
        <v>34</v>
      </c>
      <c r="B22" s="452"/>
      <c r="C22" s="202"/>
      <c r="D22" s="30"/>
    </row>
    <row r="23" spans="1:4" ht="18" customHeight="1">
      <c r="A23" s="447" t="s">
        <v>35</v>
      </c>
      <c r="B23" s="452"/>
      <c r="C23" s="202"/>
      <c r="D23" s="30"/>
    </row>
    <row r="24" spans="1:4" ht="18" customHeight="1">
      <c r="A24" s="447" t="s">
        <v>36</v>
      </c>
      <c r="B24" s="452"/>
      <c r="C24" s="202"/>
      <c r="D24" s="30"/>
    </row>
    <row r="25" spans="1:4" ht="18" customHeight="1">
      <c r="A25" s="447" t="s">
        <v>37</v>
      </c>
      <c r="B25" s="452"/>
      <c r="C25" s="202"/>
      <c r="D25" s="30"/>
    </row>
    <row r="26" spans="1:4" ht="18" customHeight="1">
      <c r="A26" s="447" t="s">
        <v>38</v>
      </c>
      <c r="B26" s="452"/>
      <c r="C26" s="202"/>
      <c r="D26" s="30"/>
    </row>
    <row r="27" spans="1:4" ht="18" customHeight="1">
      <c r="A27" s="447" t="s">
        <v>39</v>
      </c>
      <c r="B27" s="452"/>
      <c r="C27" s="202"/>
      <c r="D27" s="30"/>
    </row>
    <row r="28" spans="1:4" ht="18" customHeight="1">
      <c r="A28" s="447" t="s">
        <v>40</v>
      </c>
      <c r="B28" s="452"/>
      <c r="C28" s="202"/>
      <c r="D28" s="30"/>
    </row>
    <row r="29" spans="1:4" ht="18" customHeight="1" thickBot="1">
      <c r="A29" s="453" t="s">
        <v>41</v>
      </c>
      <c r="B29" s="454"/>
      <c r="C29" s="455"/>
      <c r="D29" s="24"/>
    </row>
    <row r="30" spans="1:4" ht="18" customHeight="1" thickBot="1">
      <c r="A30" s="456" t="s">
        <v>42</v>
      </c>
      <c r="B30" s="457" t="s">
        <v>50</v>
      </c>
      <c r="C30" s="458">
        <f>+C5+C6+C7+C8+C9+C16+C17+C18+C19+C20+C21+C22+C23+C24+C25+C26+C27+C28+C29</f>
        <v>0</v>
      </c>
      <c r="D30" s="459">
        <f>+D5+D6+D7+D8+D9+D16+D17+D18+D19+D20+D21+D22+D23+D24+D25+D26+D27+D28+D29</f>
        <v>0</v>
      </c>
    </row>
    <row r="31" spans="1:4" ht="8.25" customHeight="1">
      <c r="A31" s="460"/>
      <c r="B31" s="794"/>
      <c r="C31" s="794"/>
      <c r="D31" s="794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254"/>
  <sheetViews>
    <sheetView topLeftCell="C246" zoomScaleNormal="100" workbookViewId="0">
      <selection activeCell="K232" sqref="K232"/>
    </sheetView>
  </sheetViews>
  <sheetFormatPr defaultRowHeight="15.75"/>
  <cols>
    <col min="1" max="1" width="5.83203125" style="592" bestFit="1" customWidth="1"/>
    <col min="2" max="2" width="62.1640625" style="593" bestFit="1" customWidth="1"/>
    <col min="3" max="3" width="13" style="593" bestFit="1" customWidth="1"/>
    <col min="4" max="4" width="12.5" style="593" bestFit="1" customWidth="1"/>
    <col min="5" max="5" width="13" style="593" bestFit="1" customWidth="1"/>
    <col min="6" max="6" width="12.5" style="593" bestFit="1" customWidth="1"/>
    <col min="7" max="11" width="13" style="593" bestFit="1" customWidth="1"/>
    <col min="12" max="12" width="12.5" style="593" bestFit="1" customWidth="1"/>
    <col min="13" max="13" width="13" style="593" bestFit="1" customWidth="1"/>
    <col min="14" max="14" width="13.83203125" style="593" bestFit="1" customWidth="1"/>
    <col min="15" max="15" width="14.83203125" style="594" bestFit="1" customWidth="1"/>
    <col min="16" max="16384" width="9.33203125" style="593"/>
  </cols>
  <sheetData>
    <row r="1" spans="1:15">
      <c r="B1" s="593" t="s">
        <v>538</v>
      </c>
      <c r="L1" s="798" t="s">
        <v>735</v>
      </c>
      <c r="M1" s="798"/>
      <c r="N1" s="798"/>
    </row>
    <row r="5" spans="1:15" ht="20.25" customHeight="1">
      <c r="A5" s="796" t="s">
        <v>707</v>
      </c>
      <c r="B5" s="797"/>
      <c r="C5" s="797"/>
      <c r="D5" s="797"/>
      <c r="E5" s="797"/>
      <c r="F5" s="797"/>
      <c r="G5" s="797"/>
      <c r="H5" s="797"/>
      <c r="I5" s="797"/>
      <c r="J5" s="797"/>
      <c r="K5" s="797"/>
      <c r="L5" s="797"/>
      <c r="M5" s="797"/>
      <c r="N5" s="797"/>
      <c r="O5" s="797"/>
    </row>
    <row r="6" spans="1:15" ht="21" customHeight="1">
      <c r="A6" s="796" t="s">
        <v>708</v>
      </c>
      <c r="B6" s="796"/>
      <c r="C6" s="796"/>
      <c r="D6" s="796"/>
      <c r="E6" s="796"/>
      <c r="F6" s="796"/>
      <c r="G6" s="796"/>
      <c r="H6" s="796"/>
      <c r="I6" s="796"/>
      <c r="J6" s="796"/>
      <c r="K6" s="796"/>
      <c r="L6" s="796"/>
      <c r="M6" s="796"/>
      <c r="N6" s="796"/>
      <c r="O6" s="796"/>
    </row>
    <row r="7" spans="1:15" ht="21" customHeight="1">
      <c r="A7" s="595"/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</row>
    <row r="8" spans="1:15" ht="16.5" thickBot="1">
      <c r="O8" s="596" t="s">
        <v>588</v>
      </c>
    </row>
    <row r="9" spans="1:15" s="592" customFormat="1" ht="31.5" customHeight="1" thickBot="1">
      <c r="A9" s="597" t="s">
        <v>14</v>
      </c>
      <c r="B9" s="598" t="s">
        <v>58</v>
      </c>
      <c r="C9" s="598" t="s">
        <v>70</v>
      </c>
      <c r="D9" s="598" t="s">
        <v>71</v>
      </c>
      <c r="E9" s="598" t="s">
        <v>72</v>
      </c>
      <c r="F9" s="598" t="s">
        <v>73</v>
      </c>
      <c r="G9" s="598" t="s">
        <v>74</v>
      </c>
      <c r="H9" s="598" t="s">
        <v>75</v>
      </c>
      <c r="I9" s="641" t="s">
        <v>76</v>
      </c>
      <c r="J9" s="598" t="s">
        <v>77</v>
      </c>
      <c r="K9" s="598" t="s">
        <v>78</v>
      </c>
      <c r="L9" s="598" t="s">
        <v>79</v>
      </c>
      <c r="M9" s="598" t="s">
        <v>80</v>
      </c>
      <c r="N9" s="598" t="s">
        <v>81</v>
      </c>
      <c r="O9" s="599" t="s">
        <v>48</v>
      </c>
    </row>
    <row r="10" spans="1:15" s="601" customFormat="1" ht="15" customHeight="1" thickBot="1">
      <c r="A10" s="600"/>
      <c r="B10" s="799" t="s">
        <v>53</v>
      </c>
      <c r="C10" s="800"/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1"/>
    </row>
    <row r="11" spans="1:15" s="606" customFormat="1" ht="22.5" customHeight="1">
      <c r="A11" s="602" t="s">
        <v>16</v>
      </c>
      <c r="B11" s="603" t="s">
        <v>371</v>
      </c>
      <c r="C11" s="604">
        <v>18199640</v>
      </c>
      <c r="D11" s="604">
        <v>18199640</v>
      </c>
      <c r="E11" s="604">
        <v>18199640</v>
      </c>
      <c r="F11" s="604">
        <v>18199640</v>
      </c>
      <c r="G11" s="604">
        <v>18199640</v>
      </c>
      <c r="H11" s="604">
        <v>18199640</v>
      </c>
      <c r="I11" s="604">
        <v>18199640</v>
      </c>
      <c r="J11" s="604">
        <v>18199640</v>
      </c>
      <c r="K11" s="604">
        <v>18199640</v>
      </c>
      <c r="L11" s="604">
        <v>18199640</v>
      </c>
      <c r="M11" s="604">
        <v>18199640</v>
      </c>
      <c r="N11" s="604">
        <v>18199639</v>
      </c>
      <c r="O11" s="605">
        <f t="shared" ref="O11:O20" si="0">SUM(C11:N11)</f>
        <v>218395679</v>
      </c>
    </row>
    <row r="12" spans="1:15" s="606" customFormat="1" ht="22.5" customHeight="1">
      <c r="A12" s="602" t="s">
        <v>17</v>
      </c>
      <c r="B12" s="603" t="s">
        <v>601</v>
      </c>
      <c r="C12" s="604">
        <f>4343448</f>
        <v>4343448</v>
      </c>
      <c r="D12" s="604">
        <f t="shared" ref="D12:N12" si="1">4343448</f>
        <v>4343448</v>
      </c>
      <c r="E12" s="604">
        <f t="shared" si="1"/>
        <v>4343448</v>
      </c>
      <c r="F12" s="604">
        <f t="shared" si="1"/>
        <v>4343448</v>
      </c>
      <c r="G12" s="604">
        <f t="shared" si="1"/>
        <v>4343448</v>
      </c>
      <c r="H12" s="604">
        <f>4343448+1418795</f>
        <v>5762243</v>
      </c>
      <c r="I12" s="604">
        <f t="shared" si="1"/>
        <v>4343448</v>
      </c>
      <c r="J12" s="604">
        <f t="shared" si="1"/>
        <v>4343448</v>
      </c>
      <c r="K12" s="604">
        <f>4343448+19701700</f>
        <v>24045148</v>
      </c>
      <c r="L12" s="604">
        <f t="shared" si="1"/>
        <v>4343448</v>
      </c>
      <c r="M12" s="604">
        <f t="shared" si="1"/>
        <v>4343448</v>
      </c>
      <c r="N12" s="604">
        <f t="shared" si="1"/>
        <v>4343448</v>
      </c>
      <c r="O12" s="605">
        <f t="shared" si="0"/>
        <v>73241871</v>
      </c>
    </row>
    <row r="13" spans="1:15" s="606" customFormat="1" ht="22.5" customHeight="1">
      <c r="A13" s="602" t="s">
        <v>18</v>
      </c>
      <c r="B13" s="603" t="s">
        <v>600</v>
      </c>
      <c r="C13" s="604"/>
      <c r="D13" s="604"/>
      <c r="E13" s="604"/>
      <c r="F13" s="604"/>
      <c r="G13" s="604"/>
      <c r="H13" s="604"/>
      <c r="I13" s="604">
        <v>55972518</v>
      </c>
      <c r="J13" s="604"/>
      <c r="K13" s="604"/>
      <c r="L13" s="604"/>
      <c r="M13" s="604"/>
      <c r="N13" s="604"/>
      <c r="O13" s="605">
        <f t="shared" si="0"/>
        <v>55972518</v>
      </c>
    </row>
    <row r="14" spans="1:15" s="606" customFormat="1" ht="22.5" customHeight="1">
      <c r="A14" s="602" t="s">
        <v>19</v>
      </c>
      <c r="B14" s="603" t="s">
        <v>165</v>
      </c>
      <c r="C14" s="604">
        <f>10827500</f>
        <v>10827500</v>
      </c>
      <c r="D14" s="604">
        <f t="shared" ref="D14:N14" si="2">10827500</f>
        <v>10827500</v>
      </c>
      <c r="E14" s="604">
        <f t="shared" si="2"/>
        <v>10827500</v>
      </c>
      <c r="F14" s="604">
        <f t="shared" si="2"/>
        <v>10827500</v>
      </c>
      <c r="G14" s="604">
        <f t="shared" si="2"/>
        <v>10827500</v>
      </c>
      <c r="H14" s="604">
        <f t="shared" si="2"/>
        <v>10827500</v>
      </c>
      <c r="I14" s="604">
        <f t="shared" si="2"/>
        <v>10827500</v>
      </c>
      <c r="J14" s="604">
        <f t="shared" si="2"/>
        <v>10827500</v>
      </c>
      <c r="K14" s="604">
        <f t="shared" si="2"/>
        <v>10827500</v>
      </c>
      <c r="L14" s="604">
        <f t="shared" si="2"/>
        <v>10827500</v>
      </c>
      <c r="M14" s="604">
        <f t="shared" si="2"/>
        <v>10827500</v>
      </c>
      <c r="N14" s="604">
        <f t="shared" si="2"/>
        <v>10827500</v>
      </c>
      <c r="O14" s="605">
        <f t="shared" si="0"/>
        <v>129930000</v>
      </c>
    </row>
    <row r="15" spans="1:15" s="606" customFormat="1" ht="22.5" customHeight="1">
      <c r="A15" s="602" t="s">
        <v>20</v>
      </c>
      <c r="B15" s="603" t="s">
        <v>417</v>
      </c>
      <c r="C15" s="604">
        <f>3200936+412855</f>
        <v>3613791</v>
      </c>
      <c r="D15" s="604">
        <f t="shared" ref="D15:N15" si="3">3200936</f>
        <v>3200936</v>
      </c>
      <c r="E15" s="604">
        <f t="shared" si="3"/>
        <v>3200936</v>
      </c>
      <c r="F15" s="604">
        <f t="shared" si="3"/>
        <v>3200936</v>
      </c>
      <c r="G15" s="604">
        <f t="shared" si="3"/>
        <v>3200936</v>
      </c>
      <c r="H15" s="604">
        <f>3200936+33686153</f>
        <v>36887089</v>
      </c>
      <c r="I15" s="604">
        <f>3200936+33686154</f>
        <v>36887090</v>
      </c>
      <c r="J15" s="604">
        <f>3200936+33686153</f>
        <v>36887089</v>
      </c>
      <c r="K15" s="604">
        <f t="shared" si="3"/>
        <v>3200936</v>
      </c>
      <c r="L15" s="604">
        <f t="shared" si="3"/>
        <v>3200936</v>
      </c>
      <c r="M15" s="604">
        <f t="shared" si="3"/>
        <v>3200936</v>
      </c>
      <c r="N15" s="604">
        <f t="shared" si="3"/>
        <v>3200936</v>
      </c>
      <c r="O15" s="605">
        <f t="shared" si="0"/>
        <v>139882547</v>
      </c>
    </row>
    <row r="16" spans="1:15" s="606" customFormat="1" ht="22.5" customHeight="1">
      <c r="A16" s="602" t="s">
        <v>21</v>
      </c>
      <c r="B16" s="603" t="s">
        <v>10</v>
      </c>
      <c r="C16" s="604">
        <v>10000</v>
      </c>
      <c r="D16" s="604">
        <v>10000</v>
      </c>
      <c r="E16" s="604">
        <v>10000</v>
      </c>
      <c r="F16" s="604">
        <v>10000</v>
      </c>
      <c r="G16" s="604">
        <v>10000</v>
      </c>
      <c r="H16" s="604">
        <v>10000</v>
      </c>
      <c r="I16" s="604">
        <v>10000</v>
      </c>
      <c r="J16" s="604">
        <v>10000</v>
      </c>
      <c r="K16" s="604">
        <v>10000</v>
      </c>
      <c r="L16" s="604">
        <v>10000</v>
      </c>
      <c r="M16" s="604">
        <v>10000</v>
      </c>
      <c r="N16" s="604">
        <v>10000</v>
      </c>
      <c r="O16" s="605">
        <f t="shared" si="0"/>
        <v>120000</v>
      </c>
    </row>
    <row r="17" spans="1:15" s="606" customFormat="1" ht="22.5" customHeight="1">
      <c r="A17" s="602" t="s">
        <v>22</v>
      </c>
      <c r="B17" s="603" t="s">
        <v>373</v>
      </c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5">
        <f t="shared" si="0"/>
        <v>0</v>
      </c>
    </row>
    <row r="18" spans="1:15" s="606" customFormat="1" ht="22.5" customHeight="1">
      <c r="A18" s="602" t="s">
        <v>23</v>
      </c>
      <c r="B18" s="603" t="s">
        <v>405</v>
      </c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5">
        <f t="shared" si="0"/>
        <v>0</v>
      </c>
    </row>
    <row r="19" spans="1:15" s="606" customFormat="1" ht="22.5" customHeight="1" thickBot="1">
      <c r="A19" s="602" t="s">
        <v>24</v>
      </c>
      <c r="B19" s="603" t="s">
        <v>11</v>
      </c>
      <c r="C19" s="604">
        <v>606054429</v>
      </c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5">
        <f t="shared" si="0"/>
        <v>606054429</v>
      </c>
    </row>
    <row r="20" spans="1:15" s="611" customFormat="1" ht="15.95" customHeight="1" thickBot="1">
      <c r="A20" s="607"/>
      <c r="B20" s="608" t="s">
        <v>106</v>
      </c>
      <c r="C20" s="609">
        <f t="shared" ref="C20:N20" si="4">SUM(C11:C19)</f>
        <v>643048808</v>
      </c>
      <c r="D20" s="609">
        <f t="shared" si="4"/>
        <v>36581524</v>
      </c>
      <c r="E20" s="609">
        <f t="shared" si="4"/>
        <v>36581524</v>
      </c>
      <c r="F20" s="609">
        <f t="shared" si="4"/>
        <v>36581524</v>
      </c>
      <c r="G20" s="609">
        <f t="shared" si="4"/>
        <v>36581524</v>
      </c>
      <c r="H20" s="609">
        <f t="shared" si="4"/>
        <v>71686472</v>
      </c>
      <c r="I20" s="609">
        <f t="shared" si="4"/>
        <v>126240196</v>
      </c>
      <c r="J20" s="609">
        <f t="shared" si="4"/>
        <v>70267677</v>
      </c>
      <c r="K20" s="609">
        <f t="shared" si="4"/>
        <v>56283224</v>
      </c>
      <c r="L20" s="609">
        <f t="shared" si="4"/>
        <v>36581524</v>
      </c>
      <c r="M20" s="609">
        <f t="shared" si="4"/>
        <v>36581524</v>
      </c>
      <c r="N20" s="609">
        <f t="shared" si="4"/>
        <v>36581523</v>
      </c>
      <c r="O20" s="610">
        <f t="shared" si="0"/>
        <v>1223597044</v>
      </c>
    </row>
    <row r="21" spans="1:15" s="611" customFormat="1" ht="15.95" customHeight="1">
      <c r="A21" s="612"/>
      <c r="B21" s="613"/>
      <c r="C21" s="614"/>
      <c r="D21" s="614"/>
      <c r="E21" s="614"/>
      <c r="F21" s="614"/>
      <c r="G21" s="614"/>
      <c r="H21" s="614"/>
      <c r="I21" s="614"/>
      <c r="J21" s="614"/>
      <c r="K21" s="614"/>
      <c r="L21" s="614"/>
      <c r="M21" s="614"/>
      <c r="N21" s="614"/>
      <c r="O21" s="614"/>
    </row>
    <row r="22" spans="1:15" s="618" customFormat="1" ht="15.95" customHeight="1">
      <c r="A22" s="615"/>
      <c r="B22" s="616"/>
      <c r="C22" s="617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</row>
    <row r="23" spans="1:15" s="601" customFormat="1" ht="15" customHeight="1" thickBot="1">
      <c r="A23" s="619"/>
      <c r="B23" s="802" t="s">
        <v>54</v>
      </c>
      <c r="C23" s="803"/>
      <c r="D23" s="803"/>
      <c r="E23" s="803"/>
      <c r="F23" s="803"/>
      <c r="G23" s="803"/>
      <c r="H23" s="803"/>
      <c r="I23" s="803"/>
      <c r="J23" s="803"/>
      <c r="K23" s="803"/>
      <c r="L23" s="803"/>
      <c r="M23" s="803"/>
      <c r="N23" s="803"/>
      <c r="O23" s="804"/>
    </row>
    <row r="24" spans="1:15" s="606" customFormat="1" ht="22.5" customHeight="1">
      <c r="A24" s="602" t="s">
        <v>16</v>
      </c>
      <c r="B24" s="603" t="s">
        <v>59</v>
      </c>
      <c r="C24" s="604">
        <f>5217471</f>
        <v>5217471</v>
      </c>
      <c r="D24" s="604">
        <f t="shared" ref="D24:N24" si="5">5217471</f>
        <v>5217471</v>
      </c>
      <c r="E24" s="604">
        <f t="shared" si="5"/>
        <v>5217471</v>
      </c>
      <c r="F24" s="604">
        <f t="shared" si="5"/>
        <v>5217471</v>
      </c>
      <c r="G24" s="604">
        <f t="shared" si="5"/>
        <v>5217471</v>
      </c>
      <c r="H24" s="604">
        <f>5217471+4506267</f>
        <v>9723738</v>
      </c>
      <c r="I24" s="604">
        <f>5217471+4506268</f>
        <v>9723739</v>
      </c>
      <c r="J24" s="604">
        <f>5217471+4506268</f>
        <v>9723739</v>
      </c>
      <c r="K24" s="604">
        <f t="shared" si="5"/>
        <v>5217471</v>
      </c>
      <c r="L24" s="604">
        <f t="shared" si="5"/>
        <v>5217471</v>
      </c>
      <c r="M24" s="604">
        <f t="shared" si="5"/>
        <v>5217471</v>
      </c>
      <c r="N24" s="604">
        <f t="shared" si="5"/>
        <v>5217471</v>
      </c>
      <c r="O24" s="605">
        <f>SUM(C24:N24)</f>
        <v>76128455</v>
      </c>
    </row>
    <row r="25" spans="1:15" s="606" customFormat="1" ht="22.5" customHeight="1">
      <c r="A25" s="602" t="s">
        <v>17</v>
      </c>
      <c r="B25" s="603" t="s">
        <v>174</v>
      </c>
      <c r="C25" s="604">
        <f>1132689</f>
        <v>1132689</v>
      </c>
      <c r="D25" s="604">
        <f t="shared" ref="D25:N25" si="6">1132689</f>
        <v>1132689</v>
      </c>
      <c r="E25" s="604">
        <f t="shared" si="6"/>
        <v>1132689</v>
      </c>
      <c r="F25" s="604">
        <f t="shared" si="6"/>
        <v>1132689</v>
      </c>
      <c r="G25" s="604">
        <f t="shared" si="6"/>
        <v>1132689</v>
      </c>
      <c r="H25" s="604">
        <f>1132689+930804</f>
        <v>2063493</v>
      </c>
      <c r="I25" s="604">
        <f>1132689+930811</f>
        <v>2063500</v>
      </c>
      <c r="J25" s="604">
        <f>1132689+930811</f>
        <v>2063500</v>
      </c>
      <c r="K25" s="604">
        <f t="shared" si="6"/>
        <v>1132689</v>
      </c>
      <c r="L25" s="604">
        <f t="shared" si="6"/>
        <v>1132689</v>
      </c>
      <c r="M25" s="604">
        <f t="shared" si="6"/>
        <v>1132689</v>
      </c>
      <c r="N25" s="604">
        <f t="shared" si="6"/>
        <v>1132689</v>
      </c>
      <c r="O25" s="605">
        <f>SUM(C25:N25)</f>
        <v>16384694</v>
      </c>
    </row>
    <row r="26" spans="1:15" s="606" customFormat="1" ht="22.5" customHeight="1">
      <c r="A26" s="602" t="s">
        <v>18</v>
      </c>
      <c r="B26" s="603" t="s">
        <v>133</v>
      </c>
      <c r="C26" s="604">
        <f>12710254</f>
        <v>12710254</v>
      </c>
      <c r="D26" s="604">
        <f t="shared" ref="D26:N26" si="7">12710254</f>
        <v>12710254</v>
      </c>
      <c r="E26" s="604">
        <f t="shared" si="7"/>
        <v>12710254</v>
      </c>
      <c r="F26" s="604">
        <f t="shared" si="7"/>
        <v>12710254</v>
      </c>
      <c r="G26" s="604">
        <f t="shared" si="7"/>
        <v>12710254</v>
      </c>
      <c r="H26" s="604">
        <f>12710254+20206980</f>
        <v>32917234</v>
      </c>
      <c r="I26" s="604">
        <f>12710254+20206983</f>
        <v>32917237</v>
      </c>
      <c r="J26" s="604">
        <f>12710254+20206983</f>
        <v>32917237</v>
      </c>
      <c r="K26" s="604">
        <f t="shared" si="7"/>
        <v>12710254</v>
      </c>
      <c r="L26" s="604">
        <f t="shared" si="7"/>
        <v>12710254</v>
      </c>
      <c r="M26" s="604">
        <f t="shared" si="7"/>
        <v>12710254</v>
      </c>
      <c r="N26" s="604">
        <f t="shared" si="7"/>
        <v>12710254</v>
      </c>
      <c r="O26" s="605">
        <f>SUM(C26:N26)</f>
        <v>213143994</v>
      </c>
    </row>
    <row r="27" spans="1:15" s="606" customFormat="1" ht="22.5" customHeight="1">
      <c r="A27" s="602" t="s">
        <v>19</v>
      </c>
      <c r="B27" s="603" t="s">
        <v>175</v>
      </c>
      <c r="C27" s="604">
        <f>792500</f>
        <v>792500</v>
      </c>
      <c r="D27" s="604">
        <f t="shared" ref="D27:N27" si="8">792500</f>
        <v>792500</v>
      </c>
      <c r="E27" s="604">
        <f t="shared" si="8"/>
        <v>792500</v>
      </c>
      <c r="F27" s="604">
        <f t="shared" si="8"/>
        <v>792500</v>
      </c>
      <c r="G27" s="604">
        <f t="shared" si="8"/>
        <v>792500</v>
      </c>
      <c r="H27" s="604">
        <f t="shared" si="8"/>
        <v>792500</v>
      </c>
      <c r="I27" s="604">
        <f t="shared" si="8"/>
        <v>792500</v>
      </c>
      <c r="J27" s="604">
        <f>792500+100000</f>
        <v>892500</v>
      </c>
      <c r="K27" s="604">
        <f t="shared" si="8"/>
        <v>792500</v>
      </c>
      <c r="L27" s="604">
        <f t="shared" si="8"/>
        <v>792500</v>
      </c>
      <c r="M27" s="604">
        <f>792500+100000</f>
        <v>892500</v>
      </c>
      <c r="N27" s="604">
        <f t="shared" si="8"/>
        <v>792500</v>
      </c>
      <c r="O27" s="605">
        <f>SUM(C27:N27)</f>
        <v>9710000</v>
      </c>
    </row>
    <row r="28" spans="1:15" s="606" customFormat="1" ht="22.5" customHeight="1">
      <c r="A28" s="602" t="s">
        <v>20</v>
      </c>
      <c r="B28" s="603" t="s">
        <v>652</v>
      </c>
      <c r="C28" s="604"/>
      <c r="D28" s="604"/>
      <c r="E28" s="604">
        <v>272642</v>
      </c>
      <c r="F28" s="604"/>
      <c r="G28" s="604"/>
      <c r="H28" s="604"/>
      <c r="I28" s="604"/>
      <c r="J28" s="604"/>
      <c r="K28" s="604"/>
      <c r="L28" s="604"/>
      <c r="M28" s="604"/>
      <c r="N28" s="604"/>
      <c r="O28" s="605">
        <f>SUM(C28:N28)</f>
        <v>272642</v>
      </c>
    </row>
    <row r="29" spans="1:15" s="606" customFormat="1" ht="22.5" customHeight="1">
      <c r="A29" s="602" t="s">
        <v>21</v>
      </c>
      <c r="B29" s="603" t="s">
        <v>601</v>
      </c>
      <c r="C29" s="604">
        <f>8998687+375000</f>
        <v>9373687</v>
      </c>
      <c r="D29" s="604">
        <f t="shared" ref="D29:M29" si="9">8998687</f>
        <v>8998687</v>
      </c>
      <c r="E29" s="604">
        <f>8998687+3939780</f>
        <v>12938467</v>
      </c>
      <c r="F29" s="604">
        <f t="shared" si="9"/>
        <v>8998687</v>
      </c>
      <c r="G29" s="604">
        <f t="shared" si="9"/>
        <v>8998687</v>
      </c>
      <c r="H29" s="604">
        <f t="shared" si="9"/>
        <v>8998687</v>
      </c>
      <c r="I29" s="604">
        <f t="shared" si="9"/>
        <v>8998687</v>
      </c>
      <c r="J29" s="604">
        <f>8998687+375000</f>
        <v>9373687</v>
      </c>
      <c r="K29" s="604">
        <f t="shared" si="9"/>
        <v>8998687</v>
      </c>
      <c r="L29" s="604">
        <f t="shared" si="9"/>
        <v>8998687</v>
      </c>
      <c r="M29" s="604">
        <f t="shared" si="9"/>
        <v>8998687</v>
      </c>
      <c r="N29" s="604">
        <f>8998683</f>
        <v>8998683</v>
      </c>
      <c r="O29" s="605">
        <f t="shared" ref="O29:O36" si="10">SUM(C29:N29)</f>
        <v>112674020</v>
      </c>
    </row>
    <row r="30" spans="1:15" s="606" customFormat="1" ht="22.5" customHeight="1">
      <c r="A30" s="602" t="s">
        <v>22</v>
      </c>
      <c r="B30" s="603" t="s">
        <v>602</v>
      </c>
      <c r="C30" s="604"/>
      <c r="D30" s="604"/>
      <c r="E30" s="604">
        <f>17830000+1440000</f>
        <v>19270000</v>
      </c>
      <c r="F30" s="604"/>
      <c r="G30" s="604"/>
      <c r="H30" s="604"/>
      <c r="I30" s="604"/>
      <c r="J30" s="604">
        <f>19701700</f>
        <v>19701700</v>
      </c>
      <c r="K30" s="604"/>
      <c r="L30" s="604"/>
      <c r="M30" s="604"/>
      <c r="N30" s="604"/>
      <c r="O30" s="605">
        <f t="shared" si="10"/>
        <v>38971700</v>
      </c>
    </row>
    <row r="31" spans="1:15" s="606" customFormat="1" ht="22.5" customHeight="1">
      <c r="A31" s="602" t="s">
        <v>23</v>
      </c>
      <c r="B31" s="603" t="s">
        <v>556</v>
      </c>
      <c r="C31" s="604"/>
      <c r="D31" s="604"/>
      <c r="E31" s="604"/>
      <c r="F31" s="604"/>
      <c r="G31" s="604"/>
      <c r="H31" s="604"/>
      <c r="I31" s="604"/>
      <c r="J31" s="604"/>
      <c r="K31" s="604"/>
      <c r="L31" s="604"/>
      <c r="M31" s="604"/>
      <c r="N31" s="604">
        <v>73618052</v>
      </c>
      <c r="O31" s="605">
        <f t="shared" si="10"/>
        <v>73618052</v>
      </c>
    </row>
    <row r="32" spans="1:15" s="606" customFormat="1" ht="22.5" customHeight="1">
      <c r="A32" s="602" t="s">
        <v>24</v>
      </c>
      <c r="B32" s="603" t="s">
        <v>219</v>
      </c>
      <c r="C32" s="604">
        <f>29531785</f>
        <v>29531785</v>
      </c>
      <c r="D32" s="604">
        <f t="shared" ref="D32:M32" si="11">29531785</f>
        <v>29531785</v>
      </c>
      <c r="E32" s="604">
        <f t="shared" si="11"/>
        <v>29531785</v>
      </c>
      <c r="F32" s="604">
        <f t="shared" si="11"/>
        <v>29531785</v>
      </c>
      <c r="G32" s="604">
        <f>29531785+15494000</f>
        <v>45025785</v>
      </c>
      <c r="H32" s="604">
        <f>29531785</f>
        <v>29531785</v>
      </c>
      <c r="I32" s="604">
        <f t="shared" si="11"/>
        <v>29531785</v>
      </c>
      <c r="J32" s="604">
        <f t="shared" si="11"/>
        <v>29531785</v>
      </c>
      <c r="K32" s="604">
        <f t="shared" si="11"/>
        <v>29531785</v>
      </c>
      <c r="L32" s="604">
        <f t="shared" si="11"/>
        <v>29531785</v>
      </c>
      <c r="M32" s="604">
        <f t="shared" si="11"/>
        <v>29531785</v>
      </c>
      <c r="N32" s="604">
        <f>29531779</f>
        <v>29531779</v>
      </c>
      <c r="O32" s="605">
        <f t="shared" si="10"/>
        <v>369875414</v>
      </c>
    </row>
    <row r="33" spans="1:15" s="606" customFormat="1" ht="22.5" customHeight="1">
      <c r="A33" s="602" t="s">
        <v>25</v>
      </c>
      <c r="B33" s="603" t="s">
        <v>178</v>
      </c>
      <c r="C33" s="604">
        <f>11383379</f>
        <v>11383379</v>
      </c>
      <c r="D33" s="604">
        <f t="shared" ref="D33:M33" si="12">11383379</f>
        <v>11383379</v>
      </c>
      <c r="E33" s="604">
        <f t="shared" si="12"/>
        <v>11383379</v>
      </c>
      <c r="F33" s="604">
        <f t="shared" si="12"/>
        <v>11383379</v>
      </c>
      <c r="G33" s="604">
        <f>11383379+6350000</f>
        <v>17733379</v>
      </c>
      <c r="H33" s="604">
        <f t="shared" si="12"/>
        <v>11383379</v>
      </c>
      <c r="I33" s="604">
        <f t="shared" si="12"/>
        <v>11383379</v>
      </c>
      <c r="J33" s="604">
        <f t="shared" si="12"/>
        <v>11383379</v>
      </c>
      <c r="K33" s="604">
        <f t="shared" si="12"/>
        <v>11383379</v>
      </c>
      <c r="L33" s="604">
        <f t="shared" si="12"/>
        <v>11383379</v>
      </c>
      <c r="M33" s="604">
        <f t="shared" si="12"/>
        <v>11383379</v>
      </c>
      <c r="N33" s="604">
        <f>11383376</f>
        <v>11383376</v>
      </c>
      <c r="O33" s="605">
        <f t="shared" si="10"/>
        <v>142950545</v>
      </c>
    </row>
    <row r="34" spans="1:15" s="606" customFormat="1" ht="22.5" customHeight="1">
      <c r="A34" s="602" t="s">
        <v>26</v>
      </c>
      <c r="B34" s="603" t="s">
        <v>222</v>
      </c>
      <c r="C34" s="604"/>
      <c r="D34" s="604"/>
      <c r="E34" s="604"/>
      <c r="F34" s="604"/>
      <c r="G34" s="604"/>
      <c r="H34" s="604"/>
      <c r="I34" s="604"/>
      <c r="J34" s="604"/>
      <c r="K34" s="604"/>
      <c r="L34" s="604"/>
      <c r="M34" s="604"/>
      <c r="N34" s="604"/>
      <c r="O34" s="605">
        <f t="shared" si="10"/>
        <v>0</v>
      </c>
    </row>
    <row r="35" spans="1:15" s="606" customFormat="1" ht="22.5" customHeight="1" thickBot="1">
      <c r="A35" s="602" t="s">
        <v>27</v>
      </c>
      <c r="B35" s="603" t="s">
        <v>12</v>
      </c>
      <c r="C35" s="604">
        <f>13492246+7960578</f>
        <v>21452824</v>
      </c>
      <c r="D35" s="604">
        <f t="shared" ref="D35:M35" si="13">13492246</f>
        <v>13492246</v>
      </c>
      <c r="E35" s="604">
        <f t="shared" si="13"/>
        <v>13492246</v>
      </c>
      <c r="F35" s="604">
        <f t="shared" si="13"/>
        <v>13492246</v>
      </c>
      <c r="G35" s="604">
        <f t="shared" si="13"/>
        <v>13492246</v>
      </c>
      <c r="H35" s="604">
        <f t="shared" si="13"/>
        <v>13492246</v>
      </c>
      <c r="I35" s="604">
        <f t="shared" si="13"/>
        <v>13492246</v>
      </c>
      <c r="J35" s="604">
        <f t="shared" si="13"/>
        <v>13492246</v>
      </c>
      <c r="K35" s="604">
        <f t="shared" si="13"/>
        <v>13492246</v>
      </c>
      <c r="L35" s="604">
        <f t="shared" si="13"/>
        <v>13492246</v>
      </c>
      <c r="M35" s="604">
        <f t="shared" si="13"/>
        <v>13492246</v>
      </c>
      <c r="N35" s="604">
        <f>13492244</f>
        <v>13492244</v>
      </c>
      <c r="O35" s="605">
        <f t="shared" si="10"/>
        <v>169867528</v>
      </c>
    </row>
    <row r="36" spans="1:15" s="611" customFormat="1" ht="15.95" customHeight="1" thickBot="1">
      <c r="A36" s="607"/>
      <c r="B36" s="608" t="s">
        <v>107</v>
      </c>
      <c r="C36" s="609">
        <f t="shared" ref="C36:N36" si="14">SUM(C24:C35)</f>
        <v>91594589</v>
      </c>
      <c r="D36" s="609">
        <f t="shared" si="14"/>
        <v>83259011</v>
      </c>
      <c r="E36" s="609">
        <f t="shared" si="14"/>
        <v>106741433</v>
      </c>
      <c r="F36" s="609">
        <f t="shared" si="14"/>
        <v>83259011</v>
      </c>
      <c r="G36" s="609">
        <f t="shared" si="14"/>
        <v>105103011</v>
      </c>
      <c r="H36" s="609">
        <f t="shared" si="14"/>
        <v>108903062</v>
      </c>
      <c r="I36" s="609">
        <f t="shared" si="14"/>
        <v>108903073</v>
      </c>
      <c r="J36" s="609">
        <f t="shared" si="14"/>
        <v>129079773</v>
      </c>
      <c r="K36" s="609">
        <f t="shared" si="14"/>
        <v>83259011</v>
      </c>
      <c r="L36" s="609">
        <f t="shared" si="14"/>
        <v>83259011</v>
      </c>
      <c r="M36" s="609">
        <f t="shared" si="14"/>
        <v>83359011</v>
      </c>
      <c r="N36" s="609">
        <f t="shared" si="14"/>
        <v>156877048</v>
      </c>
      <c r="O36" s="610">
        <f t="shared" si="10"/>
        <v>1223597044</v>
      </c>
    </row>
    <row r="37" spans="1:15" s="611" customFormat="1" ht="15.95" customHeight="1" thickBot="1">
      <c r="A37" s="620"/>
      <c r="B37" s="621"/>
      <c r="C37" s="622"/>
      <c r="D37" s="622"/>
      <c r="E37" s="622"/>
      <c r="F37" s="622"/>
      <c r="G37" s="622"/>
      <c r="H37" s="622"/>
      <c r="I37" s="622"/>
      <c r="J37" s="622"/>
      <c r="K37" s="622"/>
      <c r="L37" s="622"/>
      <c r="M37" s="622"/>
      <c r="N37" s="622"/>
      <c r="O37" s="622"/>
    </row>
    <row r="38" spans="1:15" ht="16.5" thickBot="1">
      <c r="A38" s="607"/>
      <c r="B38" s="608" t="s">
        <v>108</v>
      </c>
      <c r="C38" s="609">
        <f t="shared" ref="C38:O38" si="15">C20-C36</f>
        <v>551454219</v>
      </c>
      <c r="D38" s="609">
        <f t="shared" si="15"/>
        <v>-46677487</v>
      </c>
      <c r="E38" s="609">
        <f t="shared" si="15"/>
        <v>-70159909</v>
      </c>
      <c r="F38" s="609">
        <f t="shared" si="15"/>
        <v>-46677487</v>
      </c>
      <c r="G38" s="609">
        <f t="shared" si="15"/>
        <v>-68521487</v>
      </c>
      <c r="H38" s="609">
        <f t="shared" si="15"/>
        <v>-37216590</v>
      </c>
      <c r="I38" s="609">
        <f t="shared" si="15"/>
        <v>17337123</v>
      </c>
      <c r="J38" s="609">
        <f t="shared" si="15"/>
        <v>-58812096</v>
      </c>
      <c r="K38" s="609">
        <f t="shared" si="15"/>
        <v>-26975787</v>
      </c>
      <c r="L38" s="609">
        <f t="shared" si="15"/>
        <v>-46677487</v>
      </c>
      <c r="M38" s="609">
        <f t="shared" si="15"/>
        <v>-46777487</v>
      </c>
      <c r="N38" s="609">
        <f t="shared" si="15"/>
        <v>-120295525</v>
      </c>
      <c r="O38" s="610">
        <f t="shared" si="15"/>
        <v>0</v>
      </c>
    </row>
    <row r="41" spans="1:15" ht="20.25" customHeight="1">
      <c r="A41" s="796" t="s">
        <v>707</v>
      </c>
      <c r="B41" s="797"/>
      <c r="C41" s="797"/>
      <c r="D41" s="797"/>
      <c r="E41" s="797"/>
      <c r="F41" s="797"/>
      <c r="G41" s="797"/>
      <c r="H41" s="797"/>
      <c r="I41" s="797"/>
      <c r="J41" s="797"/>
      <c r="K41" s="797"/>
      <c r="L41" s="797"/>
      <c r="M41" s="797"/>
      <c r="N41" s="797"/>
      <c r="O41" s="797"/>
    </row>
    <row r="42" spans="1:15" ht="21" customHeight="1">
      <c r="A42" s="796" t="s">
        <v>740</v>
      </c>
      <c r="B42" s="796"/>
      <c r="C42" s="796"/>
      <c r="D42" s="796"/>
      <c r="E42" s="796"/>
      <c r="F42" s="796"/>
      <c r="G42" s="796"/>
      <c r="H42" s="796"/>
      <c r="I42" s="796"/>
      <c r="J42" s="796"/>
      <c r="K42" s="796"/>
      <c r="L42" s="796"/>
      <c r="M42" s="796"/>
      <c r="N42" s="796"/>
      <c r="O42" s="796"/>
    </row>
    <row r="43" spans="1:15" ht="21" customHeight="1">
      <c r="A43" s="595"/>
      <c r="B43" s="595"/>
      <c r="C43" s="595"/>
      <c r="D43" s="595"/>
      <c r="E43" s="595"/>
      <c r="F43" s="595"/>
      <c r="G43" s="595"/>
      <c r="H43" s="595"/>
      <c r="I43" s="595"/>
      <c r="J43" s="595"/>
      <c r="K43" s="595"/>
      <c r="L43" s="595"/>
      <c r="M43" s="595"/>
      <c r="N43" s="595"/>
      <c r="O43" s="595"/>
    </row>
    <row r="44" spans="1:15" ht="16.5" thickBot="1">
      <c r="O44" s="596" t="s">
        <v>588</v>
      </c>
    </row>
    <row r="45" spans="1:15" s="592" customFormat="1" ht="31.5" customHeight="1" thickBot="1">
      <c r="A45" s="597" t="s">
        <v>14</v>
      </c>
      <c r="B45" s="598" t="s">
        <v>58</v>
      </c>
      <c r="C45" s="598" t="s">
        <v>70</v>
      </c>
      <c r="D45" s="598" t="s">
        <v>71</v>
      </c>
      <c r="E45" s="598" t="s">
        <v>72</v>
      </c>
      <c r="F45" s="598" t="s">
        <v>73</v>
      </c>
      <c r="G45" s="598" t="s">
        <v>74</v>
      </c>
      <c r="H45" s="598" t="s">
        <v>75</v>
      </c>
      <c r="I45" s="598" t="s">
        <v>76</v>
      </c>
      <c r="J45" s="598" t="s">
        <v>77</v>
      </c>
      <c r="K45" s="598" t="s">
        <v>78</v>
      </c>
      <c r="L45" s="598" t="s">
        <v>79</v>
      </c>
      <c r="M45" s="598" t="s">
        <v>80</v>
      </c>
      <c r="N45" s="598" t="s">
        <v>81</v>
      </c>
      <c r="O45" s="599" t="s">
        <v>48</v>
      </c>
    </row>
    <row r="46" spans="1:15" s="601" customFormat="1" ht="15" customHeight="1" thickBot="1">
      <c r="A46" s="600"/>
      <c r="B46" s="799" t="s">
        <v>53</v>
      </c>
      <c r="C46" s="800"/>
      <c r="D46" s="800"/>
      <c r="E46" s="800"/>
      <c r="F46" s="800"/>
      <c r="G46" s="800"/>
      <c r="H46" s="800"/>
      <c r="I46" s="800"/>
      <c r="J46" s="800"/>
      <c r="K46" s="800"/>
      <c r="L46" s="800"/>
      <c r="M46" s="800"/>
      <c r="N46" s="800"/>
      <c r="O46" s="801"/>
    </row>
    <row r="47" spans="1:15" s="606" customFormat="1" ht="22.5" customHeight="1">
      <c r="A47" s="602" t="s">
        <v>16</v>
      </c>
      <c r="B47" s="603" t="s">
        <v>371</v>
      </c>
      <c r="C47" s="604">
        <v>18199640</v>
      </c>
      <c r="D47" s="604">
        <v>18199640</v>
      </c>
      <c r="E47" s="604">
        <f>18199640+280587+241524</f>
        <v>18721751</v>
      </c>
      <c r="F47" s="604">
        <v>18199640</v>
      </c>
      <c r="G47" s="604">
        <v>18199640</v>
      </c>
      <c r="H47" s="604">
        <v>18199640</v>
      </c>
      <c r="I47" s="604">
        <v>18199640</v>
      </c>
      <c r="J47" s="604">
        <v>18199640</v>
      </c>
      <c r="K47" s="604">
        <v>18199640</v>
      </c>
      <c r="L47" s="604">
        <v>18199640</v>
      </c>
      <c r="M47" s="604">
        <v>18199640</v>
      </c>
      <c r="N47" s="604">
        <v>18199639</v>
      </c>
      <c r="O47" s="605">
        <f t="shared" ref="O47:O56" si="16">SUM(C47:N47)</f>
        <v>218917790</v>
      </c>
    </row>
    <row r="48" spans="1:15" s="606" customFormat="1" ht="22.5" customHeight="1">
      <c r="A48" s="602" t="s">
        <v>17</v>
      </c>
      <c r="B48" s="603" t="s">
        <v>601</v>
      </c>
      <c r="C48" s="604">
        <f>4343448</f>
        <v>4343448</v>
      </c>
      <c r="D48" s="604">
        <f t="shared" ref="D48:N48" si="17">4343448</f>
        <v>4343448</v>
      </c>
      <c r="E48" s="604">
        <f>4343448+105000+715832+78540+119640+1919391</f>
        <v>7281851</v>
      </c>
      <c r="F48" s="604">
        <f t="shared" si="17"/>
        <v>4343448</v>
      </c>
      <c r="G48" s="604">
        <f t="shared" si="17"/>
        <v>4343448</v>
      </c>
      <c r="H48" s="604">
        <f>4343448+1418795</f>
        <v>5762243</v>
      </c>
      <c r="I48" s="604">
        <f t="shared" si="17"/>
        <v>4343448</v>
      </c>
      <c r="J48" s="604">
        <f t="shared" si="17"/>
        <v>4343448</v>
      </c>
      <c r="K48" s="604">
        <f>4343448+19701700</f>
        <v>24045148</v>
      </c>
      <c r="L48" s="604">
        <f t="shared" si="17"/>
        <v>4343448</v>
      </c>
      <c r="M48" s="604">
        <f t="shared" si="17"/>
        <v>4343448</v>
      </c>
      <c r="N48" s="604">
        <f t="shared" si="17"/>
        <v>4343448</v>
      </c>
      <c r="O48" s="605">
        <f t="shared" si="16"/>
        <v>76180274</v>
      </c>
    </row>
    <row r="49" spans="1:15" s="606" customFormat="1" ht="22.5" customHeight="1">
      <c r="A49" s="602" t="s">
        <v>18</v>
      </c>
      <c r="B49" s="603" t="s">
        <v>600</v>
      </c>
      <c r="C49" s="604"/>
      <c r="D49" s="604"/>
      <c r="E49" s="604"/>
      <c r="F49" s="604"/>
      <c r="G49" s="604"/>
      <c r="H49" s="604"/>
      <c r="I49" s="604">
        <v>55972518</v>
      </c>
      <c r="J49" s="604"/>
      <c r="K49" s="604"/>
      <c r="L49" s="604"/>
      <c r="M49" s="604"/>
      <c r="N49" s="604"/>
      <c r="O49" s="605">
        <f t="shared" si="16"/>
        <v>55972518</v>
      </c>
    </row>
    <row r="50" spans="1:15" s="606" customFormat="1" ht="22.5" customHeight="1">
      <c r="A50" s="602" t="s">
        <v>19</v>
      </c>
      <c r="B50" s="603" t="s">
        <v>165</v>
      </c>
      <c r="C50" s="604">
        <f>10827500</f>
        <v>10827500</v>
      </c>
      <c r="D50" s="604">
        <f t="shared" ref="D50:N50" si="18">10827500</f>
        <v>10827500</v>
      </c>
      <c r="E50" s="604">
        <f t="shared" si="18"/>
        <v>10827500</v>
      </c>
      <c r="F50" s="604">
        <f t="shared" si="18"/>
        <v>10827500</v>
      </c>
      <c r="G50" s="604">
        <f t="shared" si="18"/>
        <v>10827500</v>
      </c>
      <c r="H50" s="604">
        <f t="shared" si="18"/>
        <v>10827500</v>
      </c>
      <c r="I50" s="604">
        <f t="shared" si="18"/>
        <v>10827500</v>
      </c>
      <c r="J50" s="604">
        <f t="shared" si="18"/>
        <v>10827500</v>
      </c>
      <c r="K50" s="604">
        <f t="shared" si="18"/>
        <v>10827500</v>
      </c>
      <c r="L50" s="604">
        <f t="shared" si="18"/>
        <v>10827500</v>
      </c>
      <c r="M50" s="604">
        <f t="shared" si="18"/>
        <v>10827500</v>
      </c>
      <c r="N50" s="604">
        <f t="shared" si="18"/>
        <v>10827500</v>
      </c>
      <c r="O50" s="605">
        <f t="shared" si="16"/>
        <v>129930000</v>
      </c>
    </row>
    <row r="51" spans="1:15" s="606" customFormat="1" ht="22.5" customHeight="1">
      <c r="A51" s="602" t="s">
        <v>20</v>
      </c>
      <c r="B51" s="603" t="s">
        <v>417</v>
      </c>
      <c r="C51" s="604">
        <f>3200936+412855</f>
        <v>3613791</v>
      </c>
      <c r="D51" s="604">
        <f t="shared" ref="D51:N51" si="19">3200936</f>
        <v>3200936</v>
      </c>
      <c r="E51" s="604">
        <f t="shared" si="19"/>
        <v>3200936</v>
      </c>
      <c r="F51" s="604">
        <f t="shared" si="19"/>
        <v>3200936</v>
      </c>
      <c r="G51" s="604">
        <f t="shared" si="19"/>
        <v>3200936</v>
      </c>
      <c r="H51" s="604">
        <f>3200936+33686153</f>
        <v>36887089</v>
      </c>
      <c r="I51" s="604">
        <f>3200936+33686154</f>
        <v>36887090</v>
      </c>
      <c r="J51" s="604">
        <f>3200936+33686153</f>
        <v>36887089</v>
      </c>
      <c r="K51" s="604">
        <f t="shared" si="19"/>
        <v>3200936</v>
      </c>
      <c r="L51" s="604">
        <f t="shared" si="19"/>
        <v>3200936</v>
      </c>
      <c r="M51" s="604">
        <f t="shared" si="19"/>
        <v>3200936</v>
      </c>
      <c r="N51" s="604">
        <f t="shared" si="19"/>
        <v>3200936</v>
      </c>
      <c r="O51" s="605">
        <f t="shared" si="16"/>
        <v>139882547</v>
      </c>
    </row>
    <row r="52" spans="1:15" s="606" customFormat="1" ht="22.5" customHeight="1">
      <c r="A52" s="602" t="s">
        <v>21</v>
      </c>
      <c r="B52" s="603" t="s">
        <v>10</v>
      </c>
      <c r="C52" s="604">
        <v>10000</v>
      </c>
      <c r="D52" s="604">
        <v>10000</v>
      </c>
      <c r="E52" s="604">
        <v>10000</v>
      </c>
      <c r="F52" s="604">
        <v>10000</v>
      </c>
      <c r="G52" s="604">
        <v>10000</v>
      </c>
      <c r="H52" s="604">
        <v>10000</v>
      </c>
      <c r="I52" s="604">
        <v>10000</v>
      </c>
      <c r="J52" s="604">
        <v>10000</v>
      </c>
      <c r="K52" s="604">
        <v>10000</v>
      </c>
      <c r="L52" s="604">
        <v>10000</v>
      </c>
      <c r="M52" s="604">
        <v>10000</v>
      </c>
      <c r="N52" s="604">
        <v>10000</v>
      </c>
      <c r="O52" s="605">
        <f t="shared" si="16"/>
        <v>120000</v>
      </c>
    </row>
    <row r="53" spans="1:15" s="606" customFormat="1" ht="22.5" customHeight="1">
      <c r="A53" s="602" t="s">
        <v>22</v>
      </c>
      <c r="B53" s="603" t="s">
        <v>373</v>
      </c>
      <c r="C53" s="604"/>
      <c r="D53" s="604"/>
      <c r="E53" s="604"/>
      <c r="F53" s="604"/>
      <c r="G53" s="604"/>
      <c r="H53" s="604"/>
      <c r="I53" s="604"/>
      <c r="J53" s="604"/>
      <c r="K53" s="604"/>
      <c r="L53" s="604"/>
      <c r="M53" s="604"/>
      <c r="N53" s="604"/>
      <c r="O53" s="605">
        <f t="shared" si="16"/>
        <v>0</v>
      </c>
    </row>
    <row r="54" spans="1:15" s="606" customFormat="1" ht="22.5" customHeight="1">
      <c r="A54" s="602" t="s">
        <v>23</v>
      </c>
      <c r="B54" s="603" t="s">
        <v>405</v>
      </c>
      <c r="C54" s="604"/>
      <c r="D54" s="604"/>
      <c r="E54" s="604"/>
      <c r="F54" s="604"/>
      <c r="G54" s="604"/>
      <c r="H54" s="604"/>
      <c r="I54" s="604"/>
      <c r="J54" s="604"/>
      <c r="K54" s="604"/>
      <c r="L54" s="604"/>
      <c r="M54" s="604"/>
      <c r="N54" s="604"/>
      <c r="O54" s="605">
        <f t="shared" si="16"/>
        <v>0</v>
      </c>
    </row>
    <row r="55" spans="1:15" s="606" customFormat="1" ht="22.5" customHeight="1" thickBot="1">
      <c r="A55" s="602" t="s">
        <v>24</v>
      </c>
      <c r="B55" s="603" t="s">
        <v>11</v>
      </c>
      <c r="C55" s="604">
        <v>606054429</v>
      </c>
      <c r="D55" s="604"/>
      <c r="E55" s="604">
        <v>72564</v>
      </c>
      <c r="F55" s="604"/>
      <c r="G55" s="604"/>
      <c r="H55" s="604"/>
      <c r="I55" s="604"/>
      <c r="J55" s="604"/>
      <c r="K55" s="604"/>
      <c r="L55" s="604"/>
      <c r="M55" s="604"/>
      <c r="N55" s="604"/>
      <c r="O55" s="605">
        <f t="shared" si="16"/>
        <v>606126993</v>
      </c>
    </row>
    <row r="56" spans="1:15" s="611" customFormat="1" ht="15.95" customHeight="1" thickBot="1">
      <c r="A56" s="607"/>
      <c r="B56" s="608" t="s">
        <v>106</v>
      </c>
      <c r="C56" s="609">
        <f t="shared" ref="C56:N56" si="20">SUM(C47:C55)</f>
        <v>643048808</v>
      </c>
      <c r="D56" s="609">
        <f t="shared" si="20"/>
        <v>36581524</v>
      </c>
      <c r="E56" s="609">
        <f t="shared" si="20"/>
        <v>40114602</v>
      </c>
      <c r="F56" s="609">
        <f t="shared" si="20"/>
        <v>36581524</v>
      </c>
      <c r="G56" s="609">
        <f t="shared" si="20"/>
        <v>36581524</v>
      </c>
      <c r="H56" s="609">
        <f t="shared" si="20"/>
        <v>71686472</v>
      </c>
      <c r="I56" s="609">
        <f t="shared" si="20"/>
        <v>126240196</v>
      </c>
      <c r="J56" s="609">
        <f t="shared" si="20"/>
        <v>70267677</v>
      </c>
      <c r="K56" s="609">
        <f t="shared" si="20"/>
        <v>56283224</v>
      </c>
      <c r="L56" s="609">
        <f t="shared" si="20"/>
        <v>36581524</v>
      </c>
      <c r="M56" s="609">
        <f t="shared" si="20"/>
        <v>36581524</v>
      </c>
      <c r="N56" s="609">
        <f t="shared" si="20"/>
        <v>36581523</v>
      </c>
      <c r="O56" s="610">
        <f t="shared" si="16"/>
        <v>1227130122</v>
      </c>
    </row>
    <row r="57" spans="1:15" s="611" customFormat="1" ht="15.95" customHeight="1">
      <c r="A57" s="612"/>
      <c r="B57" s="613"/>
      <c r="C57" s="614"/>
      <c r="D57" s="614"/>
      <c r="E57" s="614"/>
      <c r="F57" s="614"/>
      <c r="G57" s="614"/>
      <c r="H57" s="614"/>
      <c r="I57" s="614"/>
      <c r="J57" s="614"/>
      <c r="K57" s="614"/>
      <c r="L57" s="614"/>
      <c r="M57" s="614"/>
      <c r="N57" s="614"/>
      <c r="O57" s="614"/>
    </row>
    <row r="58" spans="1:15" s="618" customFormat="1" ht="15.95" customHeight="1">
      <c r="A58" s="615"/>
      <c r="B58" s="616"/>
      <c r="C58" s="617"/>
      <c r="D58" s="617"/>
      <c r="E58" s="617"/>
      <c r="F58" s="617"/>
      <c r="G58" s="617"/>
      <c r="H58" s="617"/>
      <c r="I58" s="617"/>
      <c r="J58" s="617"/>
      <c r="K58" s="617"/>
      <c r="L58" s="617"/>
      <c r="M58" s="617"/>
      <c r="N58" s="617"/>
      <c r="O58" s="617"/>
    </row>
    <row r="59" spans="1:15" s="601" customFormat="1" ht="15" customHeight="1" thickBot="1">
      <c r="A59" s="619"/>
      <c r="B59" s="802" t="s">
        <v>54</v>
      </c>
      <c r="C59" s="803"/>
      <c r="D59" s="803"/>
      <c r="E59" s="803"/>
      <c r="F59" s="803"/>
      <c r="G59" s="803"/>
      <c r="H59" s="803"/>
      <c r="I59" s="803"/>
      <c r="J59" s="803"/>
      <c r="K59" s="803"/>
      <c r="L59" s="803"/>
      <c r="M59" s="803"/>
      <c r="N59" s="803"/>
      <c r="O59" s="804"/>
    </row>
    <row r="60" spans="1:15" s="606" customFormat="1" ht="22.5" customHeight="1">
      <c r="A60" s="602" t="s">
        <v>16</v>
      </c>
      <c r="B60" s="603" t="s">
        <v>59</v>
      </c>
      <c r="C60" s="604">
        <f>5217471</f>
        <v>5217471</v>
      </c>
      <c r="D60" s="604">
        <f t="shared" ref="D60:N60" si="21">5217471</f>
        <v>5217471</v>
      </c>
      <c r="E60" s="604">
        <f>5217471+652240</f>
        <v>5869711</v>
      </c>
      <c r="F60" s="604">
        <f t="shared" si="21"/>
        <v>5217471</v>
      </c>
      <c r="G60" s="604">
        <f t="shared" si="21"/>
        <v>5217471</v>
      </c>
      <c r="H60" s="604">
        <f>5217471+4506267</f>
        <v>9723738</v>
      </c>
      <c r="I60" s="604">
        <f>5217471+4506268</f>
        <v>9723739</v>
      </c>
      <c r="J60" s="604">
        <f>5217471+4506268</f>
        <v>9723739</v>
      </c>
      <c r="K60" s="604">
        <f t="shared" si="21"/>
        <v>5217471</v>
      </c>
      <c r="L60" s="604">
        <f t="shared" si="21"/>
        <v>5217471</v>
      </c>
      <c r="M60" s="604">
        <f t="shared" si="21"/>
        <v>5217471</v>
      </c>
      <c r="N60" s="604">
        <f t="shared" si="21"/>
        <v>5217471</v>
      </c>
      <c r="O60" s="605">
        <f>SUM(C60:N60)</f>
        <v>76780695</v>
      </c>
    </row>
    <row r="61" spans="1:15" s="606" customFormat="1" ht="22.5" customHeight="1">
      <c r="A61" s="602" t="s">
        <v>17</v>
      </c>
      <c r="B61" s="603" t="s">
        <v>174</v>
      </c>
      <c r="C61" s="604">
        <f>1132689</f>
        <v>1132689</v>
      </c>
      <c r="D61" s="604">
        <f t="shared" ref="D61:N61" si="22">1132689</f>
        <v>1132689</v>
      </c>
      <c r="E61" s="604">
        <f>1132689+63592</f>
        <v>1196281</v>
      </c>
      <c r="F61" s="604">
        <f t="shared" si="22"/>
        <v>1132689</v>
      </c>
      <c r="G61" s="604">
        <f t="shared" si="22"/>
        <v>1132689</v>
      </c>
      <c r="H61" s="604">
        <f>1132689+930804</f>
        <v>2063493</v>
      </c>
      <c r="I61" s="604">
        <f>1132689+930811</f>
        <v>2063500</v>
      </c>
      <c r="J61" s="604">
        <f>1132689+930811</f>
        <v>2063500</v>
      </c>
      <c r="K61" s="604">
        <f t="shared" si="22"/>
        <v>1132689</v>
      </c>
      <c r="L61" s="604">
        <f t="shared" si="22"/>
        <v>1132689</v>
      </c>
      <c r="M61" s="604">
        <f t="shared" si="22"/>
        <v>1132689</v>
      </c>
      <c r="N61" s="604">
        <f t="shared" si="22"/>
        <v>1132689</v>
      </c>
      <c r="O61" s="605">
        <f>SUM(C61:N61)</f>
        <v>16448286</v>
      </c>
    </row>
    <row r="62" spans="1:15" s="606" customFormat="1" ht="22.5" customHeight="1">
      <c r="A62" s="602" t="s">
        <v>18</v>
      </c>
      <c r="B62" s="603" t="s">
        <v>133</v>
      </c>
      <c r="C62" s="604">
        <f>12710254</f>
        <v>12710254</v>
      </c>
      <c r="D62" s="604">
        <f t="shared" ref="D62:N62" si="23">12710254</f>
        <v>12710254</v>
      </c>
      <c r="E62" s="604">
        <f>12710254+635000+101600</f>
        <v>13446854</v>
      </c>
      <c r="F62" s="604">
        <f t="shared" si="23"/>
        <v>12710254</v>
      </c>
      <c r="G62" s="604">
        <f t="shared" si="23"/>
        <v>12710254</v>
      </c>
      <c r="H62" s="604">
        <f>12710254+20206980</f>
        <v>32917234</v>
      </c>
      <c r="I62" s="604">
        <f>12710254+20206983</f>
        <v>32917237</v>
      </c>
      <c r="J62" s="604">
        <f>12710254+20206983</f>
        <v>32917237</v>
      </c>
      <c r="K62" s="604">
        <f t="shared" si="23"/>
        <v>12710254</v>
      </c>
      <c r="L62" s="604">
        <f t="shared" si="23"/>
        <v>12710254</v>
      </c>
      <c r="M62" s="604">
        <f t="shared" si="23"/>
        <v>12710254</v>
      </c>
      <c r="N62" s="604">
        <f t="shared" si="23"/>
        <v>12710254</v>
      </c>
      <c r="O62" s="605">
        <f>SUM(C62:N62)</f>
        <v>213880594</v>
      </c>
    </row>
    <row r="63" spans="1:15" s="606" customFormat="1" ht="22.5" customHeight="1">
      <c r="A63" s="602" t="s">
        <v>19</v>
      </c>
      <c r="B63" s="603" t="s">
        <v>175</v>
      </c>
      <c r="C63" s="604">
        <f>792500</f>
        <v>792500</v>
      </c>
      <c r="D63" s="604">
        <f t="shared" ref="D63:N63" si="24">792500</f>
        <v>792500</v>
      </c>
      <c r="E63" s="604">
        <f t="shared" si="24"/>
        <v>792500</v>
      </c>
      <c r="F63" s="604">
        <f t="shared" si="24"/>
        <v>792500</v>
      </c>
      <c r="G63" s="604">
        <f t="shared" si="24"/>
        <v>792500</v>
      </c>
      <c r="H63" s="604">
        <f t="shared" si="24"/>
        <v>792500</v>
      </c>
      <c r="I63" s="604">
        <f t="shared" si="24"/>
        <v>792500</v>
      </c>
      <c r="J63" s="604">
        <f>792500+100000</f>
        <v>892500</v>
      </c>
      <c r="K63" s="604">
        <f t="shared" si="24"/>
        <v>792500</v>
      </c>
      <c r="L63" s="604">
        <f t="shared" si="24"/>
        <v>792500</v>
      </c>
      <c r="M63" s="604">
        <f>792500+100000</f>
        <v>892500</v>
      </c>
      <c r="N63" s="604">
        <f t="shared" si="24"/>
        <v>792500</v>
      </c>
      <c r="O63" s="605">
        <f>SUM(C63:N63)</f>
        <v>9710000</v>
      </c>
    </row>
    <row r="64" spans="1:15" s="606" customFormat="1" ht="22.5" customHeight="1">
      <c r="A64" s="602" t="s">
        <v>20</v>
      </c>
      <c r="B64" s="603" t="s">
        <v>652</v>
      </c>
      <c r="C64" s="604"/>
      <c r="D64" s="604"/>
      <c r="E64" s="604">
        <v>272642</v>
      </c>
      <c r="F64" s="604"/>
      <c r="G64" s="604"/>
      <c r="H64" s="604"/>
      <c r="I64" s="604"/>
      <c r="J64" s="604"/>
      <c r="K64" s="604"/>
      <c r="L64" s="604"/>
      <c r="M64" s="604"/>
      <c r="N64" s="604"/>
      <c r="O64" s="605">
        <f>SUM(C64:N64)</f>
        <v>272642</v>
      </c>
    </row>
    <row r="65" spans="1:15" s="606" customFormat="1" ht="22.5" customHeight="1">
      <c r="A65" s="602" t="s">
        <v>21</v>
      </c>
      <c r="B65" s="603" t="s">
        <v>601</v>
      </c>
      <c r="C65" s="604">
        <f>8998687+375000</f>
        <v>9373687</v>
      </c>
      <c r="D65" s="604">
        <f t="shared" ref="D65:M65" si="25">8998687</f>
        <v>8998687</v>
      </c>
      <c r="E65" s="604">
        <f>8998687+3939780+3987864</f>
        <v>16926331</v>
      </c>
      <c r="F65" s="604">
        <f t="shared" si="25"/>
        <v>8998687</v>
      </c>
      <c r="G65" s="604">
        <f t="shared" si="25"/>
        <v>8998687</v>
      </c>
      <c r="H65" s="604">
        <f t="shared" si="25"/>
        <v>8998687</v>
      </c>
      <c r="I65" s="604">
        <f t="shared" si="25"/>
        <v>8998687</v>
      </c>
      <c r="J65" s="604">
        <f>8998687+375000</f>
        <v>9373687</v>
      </c>
      <c r="K65" s="604">
        <f t="shared" si="25"/>
        <v>8998687</v>
      </c>
      <c r="L65" s="604">
        <f t="shared" si="25"/>
        <v>8998687</v>
      </c>
      <c r="M65" s="604">
        <f t="shared" si="25"/>
        <v>8998687</v>
      </c>
      <c r="N65" s="604">
        <f>8998683</f>
        <v>8998683</v>
      </c>
      <c r="O65" s="605">
        <f t="shared" ref="O65:O72" si="26">SUM(C65:N65)</f>
        <v>116661884</v>
      </c>
    </row>
    <row r="66" spans="1:15" s="606" customFormat="1" ht="22.5" customHeight="1">
      <c r="A66" s="602" t="s">
        <v>22</v>
      </c>
      <c r="B66" s="603" t="s">
        <v>602</v>
      </c>
      <c r="C66" s="604"/>
      <c r="D66" s="604"/>
      <c r="E66" s="604">
        <f>17830000+1440000</f>
        <v>19270000</v>
      </c>
      <c r="F66" s="604"/>
      <c r="G66" s="604"/>
      <c r="H66" s="604"/>
      <c r="I66" s="604"/>
      <c r="J66" s="604">
        <f>19701700</f>
        <v>19701700</v>
      </c>
      <c r="K66" s="604"/>
      <c r="L66" s="604"/>
      <c r="M66" s="604"/>
      <c r="N66" s="604"/>
      <c r="O66" s="605">
        <f t="shared" si="26"/>
        <v>38971700</v>
      </c>
    </row>
    <row r="67" spans="1:15" s="606" customFormat="1" ht="22.5" customHeight="1">
      <c r="A67" s="602" t="s">
        <v>23</v>
      </c>
      <c r="B67" s="603" t="s">
        <v>556</v>
      </c>
      <c r="C67" s="604"/>
      <c r="D67" s="604"/>
      <c r="E67" s="604">
        <f>105000+78540+119640+280587+241524+1919391-3987864</f>
        <v>-1243182</v>
      </c>
      <c r="F67" s="604"/>
      <c r="G67" s="604"/>
      <c r="H67" s="604"/>
      <c r="I67" s="604"/>
      <c r="J67" s="604"/>
      <c r="K67" s="604"/>
      <c r="L67" s="604"/>
      <c r="M67" s="604"/>
      <c r="N67" s="604">
        <v>73618052</v>
      </c>
      <c r="O67" s="605">
        <f t="shared" si="26"/>
        <v>72374870</v>
      </c>
    </row>
    <row r="68" spans="1:15" s="606" customFormat="1" ht="22.5" customHeight="1">
      <c r="A68" s="602" t="s">
        <v>24</v>
      </c>
      <c r="B68" s="603" t="s">
        <v>219</v>
      </c>
      <c r="C68" s="604">
        <f>29531785</f>
        <v>29531785</v>
      </c>
      <c r="D68" s="604">
        <f t="shared" ref="D68:M68" si="27">29531785</f>
        <v>29531785</v>
      </c>
      <c r="E68" s="604">
        <f>29531785-635000-101600</f>
        <v>28795185</v>
      </c>
      <c r="F68" s="604">
        <f t="shared" si="27"/>
        <v>29531785</v>
      </c>
      <c r="G68" s="604">
        <f>29531785+15494000</f>
        <v>45025785</v>
      </c>
      <c r="H68" s="604">
        <f>29531785</f>
        <v>29531785</v>
      </c>
      <c r="I68" s="604">
        <f t="shared" si="27"/>
        <v>29531785</v>
      </c>
      <c r="J68" s="604">
        <f t="shared" si="27"/>
        <v>29531785</v>
      </c>
      <c r="K68" s="604">
        <f t="shared" si="27"/>
        <v>29531785</v>
      </c>
      <c r="L68" s="604">
        <f t="shared" si="27"/>
        <v>29531785</v>
      </c>
      <c r="M68" s="604">
        <f t="shared" si="27"/>
        <v>29531785</v>
      </c>
      <c r="N68" s="604">
        <f>29531779</f>
        <v>29531779</v>
      </c>
      <c r="O68" s="605">
        <f t="shared" si="26"/>
        <v>369138814</v>
      </c>
    </row>
    <row r="69" spans="1:15" s="606" customFormat="1" ht="22.5" customHeight="1">
      <c r="A69" s="602" t="s">
        <v>25</v>
      </c>
      <c r="B69" s="603" t="s">
        <v>178</v>
      </c>
      <c r="C69" s="604">
        <f>11383379</f>
        <v>11383379</v>
      </c>
      <c r="D69" s="604">
        <f t="shared" ref="D69:M69" si="28">11383379</f>
        <v>11383379</v>
      </c>
      <c r="E69" s="604">
        <f t="shared" si="28"/>
        <v>11383379</v>
      </c>
      <c r="F69" s="604">
        <f t="shared" si="28"/>
        <v>11383379</v>
      </c>
      <c r="G69" s="604">
        <f>11383379+6350000</f>
        <v>17733379</v>
      </c>
      <c r="H69" s="604">
        <f t="shared" si="28"/>
        <v>11383379</v>
      </c>
      <c r="I69" s="604">
        <f t="shared" si="28"/>
        <v>11383379</v>
      </c>
      <c r="J69" s="604">
        <f t="shared" si="28"/>
        <v>11383379</v>
      </c>
      <c r="K69" s="604">
        <f t="shared" si="28"/>
        <v>11383379</v>
      </c>
      <c r="L69" s="604">
        <f t="shared" si="28"/>
        <v>11383379</v>
      </c>
      <c r="M69" s="604">
        <f t="shared" si="28"/>
        <v>11383379</v>
      </c>
      <c r="N69" s="604">
        <f>11383376</f>
        <v>11383376</v>
      </c>
      <c r="O69" s="605">
        <f t="shared" si="26"/>
        <v>142950545</v>
      </c>
    </row>
    <row r="70" spans="1:15" s="606" customFormat="1" ht="22.5" customHeight="1">
      <c r="A70" s="602" t="s">
        <v>26</v>
      </c>
      <c r="B70" s="603" t="s">
        <v>222</v>
      </c>
      <c r="C70" s="604"/>
      <c r="D70" s="604"/>
      <c r="E70" s="604"/>
      <c r="F70" s="604"/>
      <c r="G70" s="604"/>
      <c r="H70" s="604"/>
      <c r="I70" s="604"/>
      <c r="J70" s="604"/>
      <c r="K70" s="604"/>
      <c r="L70" s="604"/>
      <c r="M70" s="604"/>
      <c r="N70" s="604"/>
      <c r="O70" s="605">
        <f t="shared" si="26"/>
        <v>0</v>
      </c>
    </row>
    <row r="71" spans="1:15" s="606" customFormat="1" ht="22.5" customHeight="1" thickBot="1">
      <c r="A71" s="602" t="s">
        <v>27</v>
      </c>
      <c r="B71" s="603" t="s">
        <v>12</v>
      </c>
      <c r="C71" s="604">
        <f>13492246+7960578</f>
        <v>21452824</v>
      </c>
      <c r="D71" s="604">
        <f t="shared" ref="D71:M71" si="29">13492246</f>
        <v>13492246</v>
      </c>
      <c r="E71" s="604">
        <f>13492246+72564</f>
        <v>13564810</v>
      </c>
      <c r="F71" s="604">
        <f t="shared" si="29"/>
        <v>13492246</v>
      </c>
      <c r="G71" s="604">
        <f t="shared" si="29"/>
        <v>13492246</v>
      </c>
      <c r="H71" s="604">
        <f t="shared" si="29"/>
        <v>13492246</v>
      </c>
      <c r="I71" s="604">
        <f t="shared" si="29"/>
        <v>13492246</v>
      </c>
      <c r="J71" s="604">
        <f t="shared" si="29"/>
        <v>13492246</v>
      </c>
      <c r="K71" s="604">
        <f t="shared" si="29"/>
        <v>13492246</v>
      </c>
      <c r="L71" s="604">
        <f t="shared" si="29"/>
        <v>13492246</v>
      </c>
      <c r="M71" s="604">
        <f t="shared" si="29"/>
        <v>13492246</v>
      </c>
      <c r="N71" s="604">
        <f>13492244</f>
        <v>13492244</v>
      </c>
      <c r="O71" s="605">
        <f t="shared" si="26"/>
        <v>169940092</v>
      </c>
    </row>
    <row r="72" spans="1:15" s="611" customFormat="1" ht="15.95" customHeight="1" thickBot="1">
      <c r="A72" s="607"/>
      <c r="B72" s="608" t="s">
        <v>107</v>
      </c>
      <c r="C72" s="609">
        <f t="shared" ref="C72:N72" si="30">SUM(C60:C71)</f>
        <v>91594589</v>
      </c>
      <c r="D72" s="609">
        <f t="shared" si="30"/>
        <v>83259011</v>
      </c>
      <c r="E72" s="609">
        <f t="shared" si="30"/>
        <v>110274511</v>
      </c>
      <c r="F72" s="609">
        <f t="shared" si="30"/>
        <v>83259011</v>
      </c>
      <c r="G72" s="609">
        <f t="shared" si="30"/>
        <v>105103011</v>
      </c>
      <c r="H72" s="609">
        <f t="shared" si="30"/>
        <v>108903062</v>
      </c>
      <c r="I72" s="609">
        <f t="shared" si="30"/>
        <v>108903073</v>
      </c>
      <c r="J72" s="609">
        <f t="shared" si="30"/>
        <v>129079773</v>
      </c>
      <c r="K72" s="609">
        <f t="shared" si="30"/>
        <v>83259011</v>
      </c>
      <c r="L72" s="609">
        <f t="shared" si="30"/>
        <v>83259011</v>
      </c>
      <c r="M72" s="609">
        <f t="shared" si="30"/>
        <v>83359011</v>
      </c>
      <c r="N72" s="609">
        <f t="shared" si="30"/>
        <v>156877048</v>
      </c>
      <c r="O72" s="610">
        <f t="shared" si="26"/>
        <v>1227130122</v>
      </c>
    </row>
    <row r="73" spans="1:15" s="611" customFormat="1" ht="15.95" customHeight="1" thickBot="1">
      <c r="A73" s="620"/>
      <c r="B73" s="621"/>
      <c r="C73" s="622"/>
      <c r="D73" s="622"/>
      <c r="E73" s="622"/>
      <c r="F73" s="622"/>
      <c r="G73" s="622"/>
      <c r="H73" s="622"/>
      <c r="I73" s="622"/>
      <c r="J73" s="622"/>
      <c r="K73" s="622"/>
      <c r="L73" s="622"/>
      <c r="M73" s="622"/>
      <c r="N73" s="622"/>
      <c r="O73" s="622"/>
    </row>
    <row r="74" spans="1:15" ht="16.5" thickBot="1">
      <c r="A74" s="607"/>
      <c r="B74" s="608" t="s">
        <v>108</v>
      </c>
      <c r="C74" s="609">
        <f t="shared" ref="C74:O74" si="31">C56-C72</f>
        <v>551454219</v>
      </c>
      <c r="D74" s="609">
        <f t="shared" si="31"/>
        <v>-46677487</v>
      </c>
      <c r="E74" s="609">
        <f t="shared" si="31"/>
        <v>-70159909</v>
      </c>
      <c r="F74" s="609">
        <f t="shared" si="31"/>
        <v>-46677487</v>
      </c>
      <c r="G74" s="609">
        <f t="shared" si="31"/>
        <v>-68521487</v>
      </c>
      <c r="H74" s="609">
        <f t="shared" si="31"/>
        <v>-37216590</v>
      </c>
      <c r="I74" s="609">
        <f t="shared" si="31"/>
        <v>17337123</v>
      </c>
      <c r="J74" s="609">
        <f t="shared" si="31"/>
        <v>-58812096</v>
      </c>
      <c r="K74" s="609">
        <f t="shared" si="31"/>
        <v>-26975787</v>
      </c>
      <c r="L74" s="609">
        <f t="shared" si="31"/>
        <v>-46677487</v>
      </c>
      <c r="M74" s="609">
        <f t="shared" si="31"/>
        <v>-46777487</v>
      </c>
      <c r="N74" s="609">
        <f t="shared" si="31"/>
        <v>-120295525</v>
      </c>
      <c r="O74" s="610">
        <f t="shared" si="31"/>
        <v>0</v>
      </c>
    </row>
    <row r="77" spans="1:15" ht="20.25" customHeight="1">
      <c r="A77" s="796" t="s">
        <v>707</v>
      </c>
      <c r="B77" s="797"/>
      <c r="C77" s="797"/>
      <c r="D77" s="797"/>
      <c r="E77" s="797"/>
      <c r="F77" s="797"/>
      <c r="G77" s="797"/>
      <c r="H77" s="797"/>
      <c r="I77" s="797"/>
      <c r="J77" s="797"/>
      <c r="K77" s="797"/>
      <c r="L77" s="797"/>
      <c r="M77" s="797"/>
      <c r="N77" s="797"/>
      <c r="O77" s="797"/>
    </row>
    <row r="78" spans="1:15" ht="21" customHeight="1">
      <c r="A78" s="796" t="s">
        <v>744</v>
      </c>
      <c r="B78" s="796"/>
      <c r="C78" s="796"/>
      <c r="D78" s="796"/>
      <c r="E78" s="796"/>
      <c r="F78" s="796"/>
      <c r="G78" s="796"/>
      <c r="H78" s="796"/>
      <c r="I78" s="796"/>
      <c r="J78" s="796"/>
      <c r="K78" s="796"/>
      <c r="L78" s="796"/>
      <c r="M78" s="796"/>
      <c r="N78" s="796"/>
      <c r="O78" s="796"/>
    </row>
    <row r="79" spans="1:15" ht="21" customHeight="1">
      <c r="A79" s="595"/>
      <c r="B79" s="595"/>
      <c r="C79" s="595"/>
      <c r="D79" s="595"/>
      <c r="E79" s="595"/>
      <c r="F79" s="595"/>
      <c r="G79" s="595"/>
      <c r="H79" s="595"/>
      <c r="I79" s="595"/>
      <c r="J79" s="595"/>
      <c r="K79" s="595"/>
      <c r="L79" s="595"/>
      <c r="M79" s="595"/>
      <c r="N79" s="595"/>
      <c r="O79" s="595"/>
    </row>
    <row r="80" spans="1:15" ht="16.5" thickBot="1">
      <c r="O80" s="596" t="s">
        <v>588</v>
      </c>
    </row>
    <row r="81" spans="1:15" s="592" customFormat="1" ht="31.5" customHeight="1" thickBot="1">
      <c r="A81" s="597" t="s">
        <v>14</v>
      </c>
      <c r="B81" s="598" t="s">
        <v>58</v>
      </c>
      <c r="C81" s="598" t="s">
        <v>70</v>
      </c>
      <c r="D81" s="598" t="s">
        <v>71</v>
      </c>
      <c r="E81" s="598" t="s">
        <v>72</v>
      </c>
      <c r="F81" s="598" t="s">
        <v>73</v>
      </c>
      <c r="G81" s="598" t="s">
        <v>74</v>
      </c>
      <c r="H81" s="598" t="s">
        <v>75</v>
      </c>
      <c r="I81" s="598" t="s">
        <v>76</v>
      </c>
      <c r="J81" s="598" t="s">
        <v>77</v>
      </c>
      <c r="K81" s="598" t="s">
        <v>78</v>
      </c>
      <c r="L81" s="598" t="s">
        <v>79</v>
      </c>
      <c r="M81" s="598" t="s">
        <v>80</v>
      </c>
      <c r="N81" s="598" t="s">
        <v>81</v>
      </c>
      <c r="O81" s="599" t="s">
        <v>48</v>
      </c>
    </row>
    <row r="82" spans="1:15" s="601" customFormat="1" ht="15" customHeight="1" thickBot="1">
      <c r="A82" s="600"/>
      <c r="B82" s="799" t="s">
        <v>53</v>
      </c>
      <c r="C82" s="800"/>
      <c r="D82" s="800"/>
      <c r="E82" s="800"/>
      <c r="F82" s="800"/>
      <c r="G82" s="800"/>
      <c r="H82" s="800"/>
      <c r="I82" s="800"/>
      <c r="J82" s="800"/>
      <c r="K82" s="800"/>
      <c r="L82" s="800"/>
      <c r="M82" s="800"/>
      <c r="N82" s="800"/>
      <c r="O82" s="801"/>
    </row>
    <row r="83" spans="1:15" s="606" customFormat="1" ht="22.5" customHeight="1">
      <c r="A83" s="602" t="s">
        <v>16</v>
      </c>
      <c r="B83" s="603" t="s">
        <v>371</v>
      </c>
      <c r="C83" s="604">
        <v>18199640</v>
      </c>
      <c r="D83" s="604">
        <v>18199640</v>
      </c>
      <c r="E83" s="604">
        <f>18199640+280587+241524</f>
        <v>18721751</v>
      </c>
      <c r="F83" s="604">
        <v>18199640</v>
      </c>
      <c r="G83" s="604">
        <v>18199640</v>
      </c>
      <c r="H83" s="604">
        <f>18199640+411269+533400-152000+187376+293730-2814800</f>
        <v>16658615</v>
      </c>
      <c r="I83" s="604">
        <v>18199640</v>
      </c>
      <c r="J83" s="604">
        <v>18199640</v>
      </c>
      <c r="K83" s="604">
        <v>18199640</v>
      </c>
      <c r="L83" s="604">
        <v>18199640</v>
      </c>
      <c r="M83" s="604">
        <v>18199640</v>
      </c>
      <c r="N83" s="604">
        <v>18199639</v>
      </c>
      <c r="O83" s="605">
        <f t="shared" ref="O83:O92" si="32">SUM(C83:N83)</f>
        <v>217376765</v>
      </c>
    </row>
    <row r="84" spans="1:15" s="606" customFormat="1" ht="22.5" customHeight="1">
      <c r="A84" s="602" t="s">
        <v>17</v>
      </c>
      <c r="B84" s="603" t="s">
        <v>601</v>
      </c>
      <c r="C84" s="604">
        <f>4343448</f>
        <v>4343448</v>
      </c>
      <c r="D84" s="604">
        <f t="shared" ref="D84:N84" si="33">4343448</f>
        <v>4343448</v>
      </c>
      <c r="E84" s="604">
        <f>4343448+105000+715832+78540+119640+1919391</f>
        <v>7281851</v>
      </c>
      <c r="F84" s="604">
        <f t="shared" si="33"/>
        <v>4343448</v>
      </c>
      <c r="G84" s="604">
        <f t="shared" si="33"/>
        <v>4343448</v>
      </c>
      <c r="H84" s="604">
        <f>4343448+1418795-1919391+2706807+112502</f>
        <v>6662161</v>
      </c>
      <c r="I84" s="604">
        <f t="shared" si="33"/>
        <v>4343448</v>
      </c>
      <c r="J84" s="604">
        <f t="shared" si="33"/>
        <v>4343448</v>
      </c>
      <c r="K84" s="604">
        <f>4343448+19701700</f>
        <v>24045148</v>
      </c>
      <c r="L84" s="604">
        <f t="shared" si="33"/>
        <v>4343448</v>
      </c>
      <c r="M84" s="604">
        <f t="shared" si="33"/>
        <v>4343448</v>
      </c>
      <c r="N84" s="604">
        <f t="shared" si="33"/>
        <v>4343448</v>
      </c>
      <c r="O84" s="605">
        <f t="shared" si="32"/>
        <v>77080192</v>
      </c>
    </row>
    <row r="85" spans="1:15" s="606" customFormat="1" ht="22.5" customHeight="1">
      <c r="A85" s="602" t="s">
        <v>18</v>
      </c>
      <c r="B85" s="603" t="s">
        <v>600</v>
      </c>
      <c r="C85" s="604"/>
      <c r="D85" s="604"/>
      <c r="E85" s="604"/>
      <c r="F85" s="604"/>
      <c r="G85" s="604"/>
      <c r="H85" s="604">
        <f>7817442</f>
        <v>7817442</v>
      </c>
      <c r="I85" s="604">
        <v>55972518</v>
      </c>
      <c r="J85" s="604"/>
      <c r="K85" s="604"/>
      <c r="L85" s="604"/>
      <c r="M85" s="604"/>
      <c r="N85" s="604"/>
      <c r="O85" s="605">
        <f t="shared" si="32"/>
        <v>63789960</v>
      </c>
    </row>
    <row r="86" spans="1:15" s="606" customFormat="1" ht="22.5" customHeight="1">
      <c r="A86" s="602" t="s">
        <v>19</v>
      </c>
      <c r="B86" s="603" t="s">
        <v>165</v>
      </c>
      <c r="C86" s="604">
        <f>10827500</f>
        <v>10827500</v>
      </c>
      <c r="D86" s="604">
        <f t="shared" ref="D86:N86" si="34">10827500</f>
        <v>10827500</v>
      </c>
      <c r="E86" s="604">
        <f t="shared" si="34"/>
        <v>10827500</v>
      </c>
      <c r="F86" s="604">
        <f t="shared" si="34"/>
        <v>10827500</v>
      </c>
      <c r="G86" s="604">
        <f t="shared" si="34"/>
        <v>10827500</v>
      </c>
      <c r="H86" s="604">
        <f t="shared" si="34"/>
        <v>10827500</v>
      </c>
      <c r="I86" s="604">
        <f t="shared" si="34"/>
        <v>10827500</v>
      </c>
      <c r="J86" s="604">
        <f t="shared" si="34"/>
        <v>10827500</v>
      </c>
      <c r="K86" s="604">
        <f t="shared" si="34"/>
        <v>10827500</v>
      </c>
      <c r="L86" s="604">
        <f t="shared" si="34"/>
        <v>10827500</v>
      </c>
      <c r="M86" s="604">
        <f t="shared" si="34"/>
        <v>10827500</v>
      </c>
      <c r="N86" s="604">
        <f t="shared" si="34"/>
        <v>10827500</v>
      </c>
      <c r="O86" s="605">
        <f t="shared" si="32"/>
        <v>129930000</v>
      </c>
    </row>
    <row r="87" spans="1:15" s="606" customFormat="1" ht="22.5" customHeight="1">
      <c r="A87" s="602" t="s">
        <v>20</v>
      </c>
      <c r="B87" s="603" t="s">
        <v>417</v>
      </c>
      <c r="C87" s="604">
        <f>3200936+412855</f>
        <v>3613791</v>
      </c>
      <c r="D87" s="604">
        <f t="shared" ref="D87:N87" si="35">3200936</f>
        <v>3200936</v>
      </c>
      <c r="E87" s="604">
        <f t="shared" si="35"/>
        <v>3200936</v>
      </c>
      <c r="F87" s="604">
        <f t="shared" si="35"/>
        <v>3200936</v>
      </c>
      <c r="G87" s="604">
        <f t="shared" si="35"/>
        <v>3200936</v>
      </c>
      <c r="H87" s="604">
        <f>3200936+33686153+82824+167910-249000-150000</f>
        <v>36738823</v>
      </c>
      <c r="I87" s="604">
        <f>3200936+33686154</f>
        <v>36887090</v>
      </c>
      <c r="J87" s="604">
        <f>3200936+33686153</f>
        <v>36887089</v>
      </c>
      <c r="K87" s="604">
        <f t="shared" si="35"/>
        <v>3200936</v>
      </c>
      <c r="L87" s="604">
        <f t="shared" si="35"/>
        <v>3200936</v>
      </c>
      <c r="M87" s="604">
        <f t="shared" si="35"/>
        <v>3200936</v>
      </c>
      <c r="N87" s="604">
        <f t="shared" si="35"/>
        <v>3200936</v>
      </c>
      <c r="O87" s="605">
        <f t="shared" si="32"/>
        <v>139734281</v>
      </c>
    </row>
    <row r="88" spans="1:15" s="606" customFormat="1" ht="22.5" customHeight="1">
      <c r="A88" s="602" t="s">
        <v>21</v>
      </c>
      <c r="B88" s="603" t="s">
        <v>10</v>
      </c>
      <c r="C88" s="604">
        <v>10000</v>
      </c>
      <c r="D88" s="604">
        <v>10000</v>
      </c>
      <c r="E88" s="604">
        <v>10000</v>
      </c>
      <c r="F88" s="604">
        <v>10000</v>
      </c>
      <c r="G88" s="604">
        <v>10000</v>
      </c>
      <c r="H88" s="604">
        <v>10000</v>
      </c>
      <c r="I88" s="604">
        <v>10000</v>
      </c>
      <c r="J88" s="604">
        <v>10000</v>
      </c>
      <c r="K88" s="604">
        <v>10000</v>
      </c>
      <c r="L88" s="604">
        <v>10000</v>
      </c>
      <c r="M88" s="604">
        <v>10000</v>
      </c>
      <c r="N88" s="604">
        <v>10000</v>
      </c>
      <c r="O88" s="605">
        <f t="shared" si="32"/>
        <v>120000</v>
      </c>
    </row>
    <row r="89" spans="1:15" s="606" customFormat="1" ht="22.5" customHeight="1">
      <c r="A89" s="602" t="s">
        <v>22</v>
      </c>
      <c r="B89" s="603" t="s">
        <v>373</v>
      </c>
      <c r="C89" s="604"/>
      <c r="D89" s="604"/>
      <c r="E89" s="604"/>
      <c r="F89" s="604"/>
      <c r="G89" s="604"/>
      <c r="H89" s="604"/>
      <c r="I89" s="604"/>
      <c r="J89" s="604"/>
      <c r="K89" s="604"/>
      <c r="L89" s="604"/>
      <c r="M89" s="604"/>
      <c r="N89" s="604"/>
      <c r="O89" s="605">
        <f t="shared" si="32"/>
        <v>0</v>
      </c>
    </row>
    <row r="90" spans="1:15" s="606" customFormat="1" ht="22.5" customHeight="1">
      <c r="A90" s="602" t="s">
        <v>23</v>
      </c>
      <c r="B90" s="603" t="s">
        <v>405</v>
      </c>
      <c r="C90" s="604"/>
      <c r="D90" s="604"/>
      <c r="E90" s="604"/>
      <c r="F90" s="604"/>
      <c r="G90" s="604"/>
      <c r="H90" s="604"/>
      <c r="I90" s="604"/>
      <c r="J90" s="604"/>
      <c r="K90" s="604"/>
      <c r="L90" s="604"/>
      <c r="M90" s="604"/>
      <c r="N90" s="604"/>
      <c r="O90" s="605">
        <f t="shared" si="32"/>
        <v>0</v>
      </c>
    </row>
    <row r="91" spans="1:15" s="606" customFormat="1" ht="22.5" customHeight="1" thickBot="1">
      <c r="A91" s="602" t="s">
        <v>24</v>
      </c>
      <c r="B91" s="603" t="s">
        <v>11</v>
      </c>
      <c r="C91" s="604">
        <v>606054429</v>
      </c>
      <c r="D91" s="604"/>
      <c r="E91" s="604">
        <v>72564</v>
      </c>
      <c r="F91" s="604"/>
      <c r="G91" s="604"/>
      <c r="H91" s="604">
        <f>-350000</f>
        <v>-350000</v>
      </c>
      <c r="I91" s="604"/>
      <c r="J91" s="604"/>
      <c r="K91" s="604"/>
      <c r="L91" s="604"/>
      <c r="M91" s="604"/>
      <c r="N91" s="604"/>
      <c r="O91" s="605">
        <f t="shared" si="32"/>
        <v>605776993</v>
      </c>
    </row>
    <row r="92" spans="1:15" s="611" customFormat="1" ht="15.95" customHeight="1" thickBot="1">
      <c r="A92" s="607"/>
      <c r="B92" s="608" t="s">
        <v>106</v>
      </c>
      <c r="C92" s="609">
        <f t="shared" ref="C92:N92" si="36">SUM(C83:C91)</f>
        <v>643048808</v>
      </c>
      <c r="D92" s="609">
        <f t="shared" si="36"/>
        <v>36581524</v>
      </c>
      <c r="E92" s="609">
        <f t="shared" si="36"/>
        <v>40114602</v>
      </c>
      <c r="F92" s="609">
        <f t="shared" si="36"/>
        <v>36581524</v>
      </c>
      <c r="G92" s="609">
        <f t="shared" si="36"/>
        <v>36581524</v>
      </c>
      <c r="H92" s="609">
        <f t="shared" si="36"/>
        <v>78364541</v>
      </c>
      <c r="I92" s="609">
        <f t="shared" si="36"/>
        <v>126240196</v>
      </c>
      <c r="J92" s="609">
        <f t="shared" si="36"/>
        <v>70267677</v>
      </c>
      <c r="K92" s="609">
        <f t="shared" si="36"/>
        <v>56283224</v>
      </c>
      <c r="L92" s="609">
        <f t="shared" si="36"/>
        <v>36581524</v>
      </c>
      <c r="M92" s="609">
        <f t="shared" si="36"/>
        <v>36581524</v>
      </c>
      <c r="N92" s="609">
        <f t="shared" si="36"/>
        <v>36581523</v>
      </c>
      <c r="O92" s="610">
        <f t="shared" si="32"/>
        <v>1233808191</v>
      </c>
    </row>
    <row r="93" spans="1:15" s="611" customFormat="1" ht="15.95" customHeight="1">
      <c r="A93" s="612"/>
      <c r="B93" s="613"/>
      <c r="C93" s="614"/>
      <c r="D93" s="614"/>
      <c r="E93" s="614"/>
      <c r="F93" s="614"/>
      <c r="G93" s="614"/>
      <c r="H93" s="614"/>
      <c r="I93" s="614"/>
      <c r="J93" s="614"/>
      <c r="K93" s="614"/>
      <c r="L93" s="614"/>
      <c r="M93" s="614"/>
      <c r="N93" s="614"/>
      <c r="O93" s="614"/>
    </row>
    <row r="94" spans="1:15" s="618" customFormat="1" ht="15.95" customHeight="1">
      <c r="A94" s="615"/>
      <c r="B94" s="616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</row>
    <row r="95" spans="1:15" s="601" customFormat="1" ht="15" customHeight="1" thickBot="1">
      <c r="A95" s="619"/>
      <c r="B95" s="802" t="s">
        <v>54</v>
      </c>
      <c r="C95" s="803"/>
      <c r="D95" s="803"/>
      <c r="E95" s="803"/>
      <c r="F95" s="803"/>
      <c r="G95" s="803"/>
      <c r="H95" s="803"/>
      <c r="I95" s="803"/>
      <c r="J95" s="803"/>
      <c r="K95" s="803"/>
      <c r="L95" s="803"/>
      <c r="M95" s="803"/>
      <c r="N95" s="803"/>
      <c r="O95" s="804"/>
    </row>
    <row r="96" spans="1:15" s="606" customFormat="1" ht="22.5" customHeight="1">
      <c r="A96" s="602" t="s">
        <v>16</v>
      </c>
      <c r="B96" s="603" t="s">
        <v>59</v>
      </c>
      <c r="C96" s="604">
        <f>5217471</f>
        <v>5217471</v>
      </c>
      <c r="D96" s="604">
        <f t="shared" ref="D96:N96" si="37">5217471</f>
        <v>5217471</v>
      </c>
      <c r="E96" s="604">
        <f>5217471+652240</f>
        <v>5869711</v>
      </c>
      <c r="F96" s="604">
        <f t="shared" si="37"/>
        <v>5217471</v>
      </c>
      <c r="G96" s="604">
        <f t="shared" si="37"/>
        <v>5217471</v>
      </c>
      <c r="H96" s="604">
        <f>5217471+4506267+2595000+80625-3120000-136576</f>
        <v>9142787</v>
      </c>
      <c r="I96" s="604">
        <f>5217471+4506268</f>
        <v>9723739</v>
      </c>
      <c r="J96" s="604">
        <f>5217471+4506268</f>
        <v>9723739</v>
      </c>
      <c r="K96" s="604">
        <f t="shared" si="37"/>
        <v>5217471</v>
      </c>
      <c r="L96" s="604">
        <f t="shared" si="37"/>
        <v>5217471</v>
      </c>
      <c r="M96" s="604">
        <f t="shared" si="37"/>
        <v>5217471</v>
      </c>
      <c r="N96" s="604">
        <f t="shared" si="37"/>
        <v>5217471</v>
      </c>
      <c r="O96" s="605">
        <f>SUM(C96:N96)</f>
        <v>76199744</v>
      </c>
    </row>
    <row r="97" spans="1:15" s="606" customFormat="1" ht="22.5" customHeight="1">
      <c r="A97" s="602" t="s">
        <v>17</v>
      </c>
      <c r="B97" s="603" t="s">
        <v>174</v>
      </c>
      <c r="C97" s="604">
        <f>1132689</f>
        <v>1132689</v>
      </c>
      <c r="D97" s="604">
        <f t="shared" ref="D97:N97" si="38">1132689</f>
        <v>1132689</v>
      </c>
      <c r="E97" s="604">
        <f>1132689+63592</f>
        <v>1196281</v>
      </c>
      <c r="F97" s="604">
        <f t="shared" si="38"/>
        <v>1132689</v>
      </c>
      <c r="G97" s="604">
        <f t="shared" si="38"/>
        <v>1132689</v>
      </c>
      <c r="H97" s="604">
        <f>1132689+930804+506025+27590-608400-30047</f>
        <v>1958661</v>
      </c>
      <c r="I97" s="604">
        <f>1132689+930811</f>
        <v>2063500</v>
      </c>
      <c r="J97" s="604">
        <f>1132689+930811</f>
        <v>2063500</v>
      </c>
      <c r="K97" s="604">
        <f t="shared" si="38"/>
        <v>1132689</v>
      </c>
      <c r="L97" s="604">
        <f t="shared" si="38"/>
        <v>1132689</v>
      </c>
      <c r="M97" s="604">
        <f t="shared" si="38"/>
        <v>1132689</v>
      </c>
      <c r="N97" s="604">
        <f t="shared" si="38"/>
        <v>1132689</v>
      </c>
      <c r="O97" s="605">
        <f>SUM(C97:N97)</f>
        <v>16343454</v>
      </c>
    </row>
    <row r="98" spans="1:15" s="606" customFormat="1" ht="22.5" customHeight="1">
      <c r="A98" s="602" t="s">
        <v>18</v>
      </c>
      <c r="B98" s="603" t="s">
        <v>133</v>
      </c>
      <c r="C98" s="604">
        <f>12710254</f>
        <v>12710254</v>
      </c>
      <c r="D98" s="604">
        <f t="shared" ref="D98:N98" si="39">12710254</f>
        <v>12710254</v>
      </c>
      <c r="E98" s="604">
        <f>12710254+635000+101600</f>
        <v>13446854</v>
      </c>
      <c r="F98" s="604">
        <f t="shared" si="39"/>
        <v>12710254</v>
      </c>
      <c r="G98" s="604">
        <f t="shared" si="39"/>
        <v>12710254</v>
      </c>
      <c r="H98" s="604">
        <f>12710254+20206980+533400+167910+190500+34360+13694572+9032376+6502400+702474+132358+1911775+1441313</f>
        <v>67260672</v>
      </c>
      <c r="I98" s="604">
        <f>12710254+20206983</f>
        <v>32917237</v>
      </c>
      <c r="J98" s="604">
        <f>12710254+20206983</f>
        <v>32917237</v>
      </c>
      <c r="K98" s="604">
        <f t="shared" si="39"/>
        <v>12710254</v>
      </c>
      <c r="L98" s="604">
        <f t="shared" si="39"/>
        <v>12710254</v>
      </c>
      <c r="M98" s="604">
        <f t="shared" si="39"/>
        <v>12710254</v>
      </c>
      <c r="N98" s="604">
        <f t="shared" si="39"/>
        <v>12710254</v>
      </c>
      <c r="O98" s="605">
        <f>SUM(C98:N98)</f>
        <v>248224032</v>
      </c>
    </row>
    <row r="99" spans="1:15" s="606" customFormat="1" ht="22.5" customHeight="1">
      <c r="A99" s="602" t="s">
        <v>19</v>
      </c>
      <c r="B99" s="603" t="s">
        <v>175</v>
      </c>
      <c r="C99" s="604">
        <f>792500</f>
        <v>792500</v>
      </c>
      <c r="D99" s="604">
        <f t="shared" ref="D99:N99" si="40">792500</f>
        <v>792500</v>
      </c>
      <c r="E99" s="604">
        <f t="shared" si="40"/>
        <v>792500</v>
      </c>
      <c r="F99" s="604">
        <f t="shared" si="40"/>
        <v>792500</v>
      </c>
      <c r="G99" s="604">
        <f t="shared" si="40"/>
        <v>792500</v>
      </c>
      <c r="H99" s="604">
        <f t="shared" si="40"/>
        <v>792500</v>
      </c>
      <c r="I99" s="604">
        <f t="shared" si="40"/>
        <v>792500</v>
      </c>
      <c r="J99" s="604">
        <f>792500+100000</f>
        <v>892500</v>
      </c>
      <c r="K99" s="604">
        <f t="shared" si="40"/>
        <v>792500</v>
      </c>
      <c r="L99" s="604">
        <f t="shared" si="40"/>
        <v>792500</v>
      </c>
      <c r="M99" s="604">
        <f>792500+100000</f>
        <v>892500</v>
      </c>
      <c r="N99" s="604">
        <f t="shared" si="40"/>
        <v>792500</v>
      </c>
      <c r="O99" s="605">
        <f>SUM(C99:N99)</f>
        <v>9710000</v>
      </c>
    </row>
    <row r="100" spans="1:15" s="606" customFormat="1" ht="22.5" customHeight="1">
      <c r="A100" s="602" t="s">
        <v>20</v>
      </c>
      <c r="B100" s="603" t="s">
        <v>652</v>
      </c>
      <c r="C100" s="604"/>
      <c r="D100" s="604"/>
      <c r="E100" s="604">
        <v>272642</v>
      </c>
      <c r="F100" s="604"/>
      <c r="G100" s="604"/>
      <c r="H100" s="604"/>
      <c r="I100" s="604"/>
      <c r="J100" s="604"/>
      <c r="K100" s="604"/>
      <c r="L100" s="604"/>
      <c r="M100" s="604"/>
      <c r="N100" s="604"/>
      <c r="O100" s="605">
        <f>SUM(C100:N100)</f>
        <v>272642</v>
      </c>
    </row>
    <row r="101" spans="1:15" s="606" customFormat="1" ht="22.5" customHeight="1">
      <c r="A101" s="602" t="s">
        <v>21</v>
      </c>
      <c r="B101" s="603" t="s">
        <v>601</v>
      </c>
      <c r="C101" s="604">
        <f>8998687+375000</f>
        <v>9373687</v>
      </c>
      <c r="D101" s="604">
        <f t="shared" ref="D101:M101" si="41">8998687</f>
        <v>8998687</v>
      </c>
      <c r="E101" s="604">
        <f>8998687+3939780+3987864</f>
        <v>16926331</v>
      </c>
      <c r="F101" s="604">
        <f t="shared" si="41"/>
        <v>8998687</v>
      </c>
      <c r="G101" s="604">
        <f t="shared" si="41"/>
        <v>8998687</v>
      </c>
      <c r="H101" s="604">
        <f>8998687+1224473-374484</f>
        <v>9848676</v>
      </c>
      <c r="I101" s="604">
        <f t="shared" si="41"/>
        <v>8998687</v>
      </c>
      <c r="J101" s="604">
        <f>8998687+375000</f>
        <v>9373687</v>
      </c>
      <c r="K101" s="604">
        <f t="shared" si="41"/>
        <v>8998687</v>
      </c>
      <c r="L101" s="604">
        <f t="shared" si="41"/>
        <v>8998687</v>
      </c>
      <c r="M101" s="604">
        <f t="shared" si="41"/>
        <v>8998687</v>
      </c>
      <c r="N101" s="604">
        <f>8998683</f>
        <v>8998683</v>
      </c>
      <c r="O101" s="605">
        <f t="shared" ref="O101:O108" si="42">SUM(C101:N101)</f>
        <v>117511873</v>
      </c>
    </row>
    <row r="102" spans="1:15" s="606" customFormat="1" ht="22.5" customHeight="1">
      <c r="A102" s="602" t="s">
        <v>22</v>
      </c>
      <c r="B102" s="603" t="s">
        <v>602</v>
      </c>
      <c r="C102" s="604"/>
      <c r="D102" s="604"/>
      <c r="E102" s="604">
        <f>17830000+1440000</f>
        <v>19270000</v>
      </c>
      <c r="F102" s="604"/>
      <c r="G102" s="604"/>
      <c r="H102" s="604">
        <f>30000</f>
        <v>30000</v>
      </c>
      <c r="I102" s="604"/>
      <c r="J102" s="604">
        <f>19701700</f>
        <v>19701700</v>
      </c>
      <c r="K102" s="604"/>
      <c r="L102" s="604"/>
      <c r="M102" s="604"/>
      <c r="N102" s="604"/>
      <c r="O102" s="605">
        <f t="shared" si="42"/>
        <v>39001700</v>
      </c>
    </row>
    <row r="103" spans="1:15" s="606" customFormat="1" ht="22.5" customHeight="1">
      <c r="A103" s="602" t="s">
        <v>23</v>
      </c>
      <c r="B103" s="603" t="s">
        <v>556</v>
      </c>
      <c r="C103" s="604"/>
      <c r="D103" s="604"/>
      <c r="E103" s="604">
        <f>105000+78540+119640+280587+241524+1919391-3987864</f>
        <v>-1243182</v>
      </c>
      <c r="F103" s="604"/>
      <c r="G103" s="604"/>
      <c r="H103" s="604">
        <f>-5717922+82824-350000-152000+187376+293730-1919391-1224473-1000000-3101025-2814800+374484-605530+782302-190500-142575-249000-150000-2774000-5000000-3086614-597073-30000</f>
        <v>-27384187</v>
      </c>
      <c r="I103" s="604"/>
      <c r="J103" s="604"/>
      <c r="K103" s="604"/>
      <c r="L103" s="604"/>
      <c r="M103" s="604"/>
      <c r="N103" s="604">
        <v>73618052</v>
      </c>
      <c r="O103" s="605">
        <f t="shared" si="42"/>
        <v>44990683</v>
      </c>
    </row>
    <row r="104" spans="1:15" s="606" customFormat="1" ht="22.5" customHeight="1">
      <c r="A104" s="602" t="s">
        <v>24</v>
      </c>
      <c r="B104" s="603" t="s">
        <v>219</v>
      </c>
      <c r="C104" s="604">
        <f>29531785</f>
        <v>29531785</v>
      </c>
      <c r="D104" s="604">
        <f t="shared" ref="D104:M104" si="43">29531785</f>
        <v>29531785</v>
      </c>
      <c r="E104" s="604">
        <f>29531785-635000-101600</f>
        <v>28795185</v>
      </c>
      <c r="F104" s="604">
        <f t="shared" si="43"/>
        <v>29531785</v>
      </c>
      <c r="G104" s="604">
        <f>29531785+15494000</f>
        <v>45025785</v>
      </c>
      <c r="H104" s="604">
        <f>29531785+5717922+1000000-76200-13694572-6566274+9196991-1399405+6779509-946684-2746211-1911775-1441313</f>
        <v>23443773</v>
      </c>
      <c r="I104" s="604">
        <f t="shared" si="43"/>
        <v>29531785</v>
      </c>
      <c r="J104" s="604">
        <f t="shared" si="43"/>
        <v>29531785</v>
      </c>
      <c r="K104" s="604">
        <f t="shared" si="43"/>
        <v>29531785</v>
      </c>
      <c r="L104" s="604">
        <f t="shared" si="43"/>
        <v>29531785</v>
      </c>
      <c r="M104" s="604">
        <f t="shared" si="43"/>
        <v>29531785</v>
      </c>
      <c r="N104" s="604">
        <f>29531779</f>
        <v>29531779</v>
      </c>
      <c r="O104" s="605">
        <f t="shared" si="42"/>
        <v>363050802</v>
      </c>
    </row>
    <row r="105" spans="1:15" s="606" customFormat="1" ht="22.5" customHeight="1">
      <c r="A105" s="602" t="s">
        <v>25</v>
      </c>
      <c r="B105" s="603" t="s">
        <v>178</v>
      </c>
      <c r="C105" s="604">
        <f>11383379</f>
        <v>11383379</v>
      </c>
      <c r="D105" s="604">
        <f t="shared" ref="D105:M105" si="44">11383379</f>
        <v>11383379</v>
      </c>
      <c r="E105" s="604">
        <f t="shared" si="44"/>
        <v>11383379</v>
      </c>
      <c r="F105" s="604">
        <f t="shared" si="44"/>
        <v>11383379</v>
      </c>
      <c r="G105" s="604">
        <f>11383379+6350000</f>
        <v>17733379</v>
      </c>
      <c r="H105" s="604">
        <f>11383379+76200-9032376+13737230+597073</f>
        <v>16761506</v>
      </c>
      <c r="I105" s="604">
        <f t="shared" si="44"/>
        <v>11383379</v>
      </c>
      <c r="J105" s="604">
        <f t="shared" si="44"/>
        <v>11383379</v>
      </c>
      <c r="K105" s="604">
        <f t="shared" si="44"/>
        <v>11383379</v>
      </c>
      <c r="L105" s="604">
        <f t="shared" si="44"/>
        <v>11383379</v>
      </c>
      <c r="M105" s="604">
        <f t="shared" si="44"/>
        <v>11383379</v>
      </c>
      <c r="N105" s="604">
        <f>11383376</f>
        <v>11383376</v>
      </c>
      <c r="O105" s="605">
        <f t="shared" si="42"/>
        <v>148328672</v>
      </c>
    </row>
    <row r="106" spans="1:15" s="606" customFormat="1" ht="22.5" customHeight="1">
      <c r="A106" s="602" t="s">
        <v>26</v>
      </c>
      <c r="B106" s="603" t="s">
        <v>222</v>
      </c>
      <c r="C106" s="604"/>
      <c r="D106" s="604"/>
      <c r="E106" s="604"/>
      <c r="F106" s="604"/>
      <c r="G106" s="604"/>
      <c r="H106" s="604"/>
      <c r="I106" s="604"/>
      <c r="J106" s="604"/>
      <c r="K106" s="604"/>
      <c r="L106" s="604"/>
      <c r="M106" s="604"/>
      <c r="N106" s="604"/>
      <c r="O106" s="605">
        <f t="shared" si="42"/>
        <v>0</v>
      </c>
    </row>
    <row r="107" spans="1:15" s="606" customFormat="1" ht="22.5" customHeight="1" thickBot="1">
      <c r="A107" s="602" t="s">
        <v>27</v>
      </c>
      <c r="B107" s="603" t="s">
        <v>12</v>
      </c>
      <c r="C107" s="604">
        <f>13492246+7960578</f>
        <v>21452824</v>
      </c>
      <c r="D107" s="604">
        <f t="shared" ref="D107:M107" si="45">13492246</f>
        <v>13492246</v>
      </c>
      <c r="E107" s="604">
        <f>13492246+72564</f>
        <v>13564810</v>
      </c>
      <c r="F107" s="604">
        <f t="shared" si="45"/>
        <v>13492246</v>
      </c>
      <c r="G107" s="604">
        <f t="shared" si="45"/>
        <v>13492246</v>
      </c>
      <c r="H107" s="604">
        <f>13492246+411269+605530-782302</f>
        <v>13726743</v>
      </c>
      <c r="I107" s="604">
        <f t="shared" si="45"/>
        <v>13492246</v>
      </c>
      <c r="J107" s="604">
        <f t="shared" si="45"/>
        <v>13492246</v>
      </c>
      <c r="K107" s="604">
        <f t="shared" si="45"/>
        <v>13492246</v>
      </c>
      <c r="L107" s="604">
        <f t="shared" si="45"/>
        <v>13492246</v>
      </c>
      <c r="M107" s="604">
        <f t="shared" si="45"/>
        <v>13492246</v>
      </c>
      <c r="N107" s="604">
        <f>13492244</f>
        <v>13492244</v>
      </c>
      <c r="O107" s="605">
        <f t="shared" si="42"/>
        <v>170174589</v>
      </c>
    </row>
    <row r="108" spans="1:15" s="611" customFormat="1" ht="15.95" customHeight="1" thickBot="1">
      <c r="A108" s="607"/>
      <c r="B108" s="608" t="s">
        <v>107</v>
      </c>
      <c r="C108" s="609">
        <f t="shared" ref="C108:N108" si="46">SUM(C96:C107)</f>
        <v>91594589</v>
      </c>
      <c r="D108" s="609">
        <f t="shared" si="46"/>
        <v>83259011</v>
      </c>
      <c r="E108" s="609">
        <f t="shared" si="46"/>
        <v>110274511</v>
      </c>
      <c r="F108" s="609">
        <f t="shared" si="46"/>
        <v>83259011</v>
      </c>
      <c r="G108" s="609">
        <f t="shared" si="46"/>
        <v>105103011</v>
      </c>
      <c r="H108" s="609">
        <f t="shared" si="46"/>
        <v>115581131</v>
      </c>
      <c r="I108" s="609">
        <f t="shared" si="46"/>
        <v>108903073</v>
      </c>
      <c r="J108" s="609">
        <f t="shared" si="46"/>
        <v>129079773</v>
      </c>
      <c r="K108" s="609">
        <f t="shared" si="46"/>
        <v>83259011</v>
      </c>
      <c r="L108" s="609">
        <f t="shared" si="46"/>
        <v>83259011</v>
      </c>
      <c r="M108" s="609">
        <f t="shared" si="46"/>
        <v>83359011</v>
      </c>
      <c r="N108" s="609">
        <f t="shared" si="46"/>
        <v>156877048</v>
      </c>
      <c r="O108" s="610">
        <f t="shared" si="42"/>
        <v>1233808191</v>
      </c>
    </row>
    <row r="109" spans="1:15" s="611" customFormat="1" ht="15.95" customHeight="1" thickBot="1">
      <c r="A109" s="620"/>
      <c r="B109" s="621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</row>
    <row r="110" spans="1:15" ht="16.5" thickBot="1">
      <c r="A110" s="607"/>
      <c r="B110" s="608" t="s">
        <v>108</v>
      </c>
      <c r="C110" s="609">
        <f t="shared" ref="C110:O110" si="47">C92-C108</f>
        <v>551454219</v>
      </c>
      <c r="D110" s="609">
        <f t="shared" si="47"/>
        <v>-46677487</v>
      </c>
      <c r="E110" s="609">
        <f t="shared" si="47"/>
        <v>-70159909</v>
      </c>
      <c r="F110" s="609">
        <f t="shared" si="47"/>
        <v>-46677487</v>
      </c>
      <c r="G110" s="609">
        <f t="shared" si="47"/>
        <v>-68521487</v>
      </c>
      <c r="H110" s="609">
        <f t="shared" si="47"/>
        <v>-37216590</v>
      </c>
      <c r="I110" s="609">
        <f t="shared" si="47"/>
        <v>17337123</v>
      </c>
      <c r="J110" s="609">
        <f t="shared" si="47"/>
        <v>-58812096</v>
      </c>
      <c r="K110" s="609">
        <f t="shared" si="47"/>
        <v>-26975787</v>
      </c>
      <c r="L110" s="609">
        <f t="shared" si="47"/>
        <v>-46677487</v>
      </c>
      <c r="M110" s="609">
        <f t="shared" si="47"/>
        <v>-46777487</v>
      </c>
      <c r="N110" s="609">
        <f t="shared" si="47"/>
        <v>-120295525</v>
      </c>
      <c r="O110" s="610">
        <f t="shared" si="47"/>
        <v>0</v>
      </c>
    </row>
    <row r="113" spans="1:15" ht="20.25" customHeight="1">
      <c r="A113" s="796" t="s">
        <v>707</v>
      </c>
      <c r="B113" s="797"/>
      <c r="C113" s="797"/>
      <c r="D113" s="797"/>
      <c r="E113" s="797"/>
      <c r="F113" s="797"/>
      <c r="G113" s="797"/>
      <c r="H113" s="797"/>
      <c r="I113" s="797"/>
      <c r="J113" s="797"/>
      <c r="K113" s="797"/>
      <c r="L113" s="797"/>
      <c r="M113" s="797"/>
      <c r="N113" s="797"/>
      <c r="O113" s="797"/>
    </row>
    <row r="114" spans="1:15" ht="21" customHeight="1">
      <c r="A114" s="796" t="s">
        <v>757</v>
      </c>
      <c r="B114" s="796"/>
      <c r="C114" s="796"/>
      <c r="D114" s="796"/>
      <c r="E114" s="796"/>
      <c r="F114" s="796"/>
      <c r="G114" s="796"/>
      <c r="H114" s="796"/>
      <c r="I114" s="796"/>
      <c r="J114" s="796"/>
      <c r="K114" s="796"/>
      <c r="L114" s="796"/>
      <c r="M114" s="796"/>
      <c r="N114" s="796"/>
      <c r="O114" s="796"/>
    </row>
    <row r="115" spans="1:15" ht="21" customHeight="1">
      <c r="A115" s="595"/>
      <c r="B115" s="595"/>
      <c r="C115" s="595"/>
      <c r="D115" s="595"/>
      <c r="E115" s="595"/>
      <c r="F115" s="595"/>
      <c r="G115" s="595"/>
      <c r="H115" s="595"/>
      <c r="I115" s="595"/>
      <c r="J115" s="595"/>
      <c r="K115" s="595"/>
      <c r="L115" s="595"/>
      <c r="M115" s="595"/>
      <c r="N115" s="595"/>
      <c r="O115" s="595"/>
    </row>
    <row r="116" spans="1:15" ht="16.5" thickBot="1">
      <c r="O116" s="596" t="s">
        <v>588</v>
      </c>
    </row>
    <row r="117" spans="1:15" s="592" customFormat="1" ht="31.5" customHeight="1" thickBot="1">
      <c r="A117" s="597" t="s">
        <v>14</v>
      </c>
      <c r="B117" s="598" t="s">
        <v>58</v>
      </c>
      <c r="C117" s="598" t="s">
        <v>70</v>
      </c>
      <c r="D117" s="598" t="s">
        <v>71</v>
      </c>
      <c r="E117" s="598" t="s">
        <v>72</v>
      </c>
      <c r="F117" s="598" t="s">
        <v>73</v>
      </c>
      <c r="G117" s="598" t="s">
        <v>74</v>
      </c>
      <c r="H117" s="598" t="s">
        <v>75</v>
      </c>
      <c r="I117" s="598" t="s">
        <v>76</v>
      </c>
      <c r="J117" s="598" t="s">
        <v>77</v>
      </c>
      <c r="K117" s="598" t="s">
        <v>78</v>
      </c>
      <c r="L117" s="598" t="s">
        <v>79</v>
      </c>
      <c r="M117" s="598" t="s">
        <v>80</v>
      </c>
      <c r="N117" s="598" t="s">
        <v>81</v>
      </c>
      <c r="O117" s="599" t="s">
        <v>48</v>
      </c>
    </row>
    <row r="118" spans="1:15" s="601" customFormat="1" ht="15" customHeight="1" thickBot="1">
      <c r="A118" s="600"/>
      <c r="B118" s="799" t="s">
        <v>53</v>
      </c>
      <c r="C118" s="800"/>
      <c r="D118" s="800"/>
      <c r="E118" s="800"/>
      <c r="F118" s="800"/>
      <c r="G118" s="800"/>
      <c r="H118" s="800"/>
      <c r="I118" s="800"/>
      <c r="J118" s="800"/>
      <c r="K118" s="800"/>
      <c r="L118" s="800"/>
      <c r="M118" s="800"/>
      <c r="N118" s="800"/>
      <c r="O118" s="801"/>
    </row>
    <row r="119" spans="1:15" s="606" customFormat="1" ht="22.5" customHeight="1">
      <c r="A119" s="602" t="s">
        <v>16</v>
      </c>
      <c r="B119" s="603" t="s">
        <v>371</v>
      </c>
      <c r="C119" s="604">
        <v>18199640</v>
      </c>
      <c r="D119" s="604">
        <v>18199640</v>
      </c>
      <c r="E119" s="604">
        <f>18199640+280587+241524</f>
        <v>18721751</v>
      </c>
      <c r="F119" s="604">
        <v>18199640</v>
      </c>
      <c r="G119" s="604">
        <v>18199640</v>
      </c>
      <c r="H119" s="604">
        <f>18199640+411269+533400-152000+187376+293730-2814800</f>
        <v>16658615</v>
      </c>
      <c r="I119" s="604">
        <v>18199640</v>
      </c>
      <c r="J119" s="604">
        <f>18199640+19701700+2500000</f>
        <v>40401340</v>
      </c>
      <c r="K119" s="604">
        <v>18199640</v>
      </c>
      <c r="L119" s="604">
        <v>18199640</v>
      </c>
      <c r="M119" s="604">
        <v>18199640</v>
      </c>
      <c r="N119" s="604">
        <v>18199639</v>
      </c>
      <c r="O119" s="605">
        <f t="shared" ref="O119:O128" si="48">SUM(C119:N119)</f>
        <v>239578465</v>
      </c>
    </row>
    <row r="120" spans="1:15" s="606" customFormat="1" ht="22.5" customHeight="1">
      <c r="A120" s="602" t="s">
        <v>17</v>
      </c>
      <c r="B120" s="603" t="s">
        <v>601</v>
      </c>
      <c r="C120" s="604">
        <f>4343448</f>
        <v>4343448</v>
      </c>
      <c r="D120" s="604">
        <f t="shared" ref="D120:N120" si="49">4343448</f>
        <v>4343448</v>
      </c>
      <c r="E120" s="604">
        <f>4343448+105000+715832+78540+119640+1919391</f>
        <v>7281851</v>
      </c>
      <c r="F120" s="604">
        <f t="shared" si="49"/>
        <v>4343448</v>
      </c>
      <c r="G120" s="604">
        <f t="shared" si="49"/>
        <v>4343448</v>
      </c>
      <c r="H120" s="604">
        <f>4343448+1418795-1919391+2706807+112502</f>
        <v>6662161</v>
      </c>
      <c r="I120" s="604">
        <f t="shared" si="49"/>
        <v>4343448</v>
      </c>
      <c r="J120" s="604">
        <f>4343448-19701700</f>
        <v>-15358252</v>
      </c>
      <c r="K120" s="604">
        <f>4343448+19701700</f>
        <v>24045148</v>
      </c>
      <c r="L120" s="604">
        <f t="shared" si="49"/>
        <v>4343448</v>
      </c>
      <c r="M120" s="604">
        <f t="shared" si="49"/>
        <v>4343448</v>
      </c>
      <c r="N120" s="604">
        <f t="shared" si="49"/>
        <v>4343448</v>
      </c>
      <c r="O120" s="605">
        <f t="shared" si="48"/>
        <v>57378492</v>
      </c>
    </row>
    <row r="121" spans="1:15" s="606" customFormat="1" ht="22.5" customHeight="1">
      <c r="A121" s="602" t="s">
        <v>18</v>
      </c>
      <c r="B121" s="603" t="s">
        <v>600</v>
      </c>
      <c r="C121" s="604"/>
      <c r="D121" s="604"/>
      <c r="E121" s="604"/>
      <c r="F121" s="604"/>
      <c r="G121" s="604"/>
      <c r="H121" s="604">
        <f>7817442</f>
        <v>7817442</v>
      </c>
      <c r="I121" s="604">
        <v>55972518</v>
      </c>
      <c r="J121" s="604"/>
      <c r="K121" s="604"/>
      <c r="L121" s="604"/>
      <c r="M121" s="604"/>
      <c r="N121" s="604"/>
      <c r="O121" s="605">
        <f t="shared" si="48"/>
        <v>63789960</v>
      </c>
    </row>
    <row r="122" spans="1:15" s="606" customFormat="1" ht="22.5" customHeight="1">
      <c r="A122" s="602" t="s">
        <v>19</v>
      </c>
      <c r="B122" s="603" t="s">
        <v>165</v>
      </c>
      <c r="C122" s="604">
        <f>10827500</f>
        <v>10827500</v>
      </c>
      <c r="D122" s="604">
        <f t="shared" ref="D122:N122" si="50">10827500</f>
        <v>10827500</v>
      </c>
      <c r="E122" s="604">
        <f t="shared" si="50"/>
        <v>10827500</v>
      </c>
      <c r="F122" s="604">
        <f t="shared" si="50"/>
        <v>10827500</v>
      </c>
      <c r="G122" s="604">
        <f t="shared" si="50"/>
        <v>10827500</v>
      </c>
      <c r="H122" s="604">
        <f t="shared" si="50"/>
        <v>10827500</v>
      </c>
      <c r="I122" s="604">
        <f t="shared" si="50"/>
        <v>10827500</v>
      </c>
      <c r="J122" s="604">
        <f t="shared" si="50"/>
        <v>10827500</v>
      </c>
      <c r="K122" s="604">
        <f t="shared" si="50"/>
        <v>10827500</v>
      </c>
      <c r="L122" s="604">
        <f t="shared" si="50"/>
        <v>10827500</v>
      </c>
      <c r="M122" s="604">
        <f t="shared" si="50"/>
        <v>10827500</v>
      </c>
      <c r="N122" s="604">
        <f t="shared" si="50"/>
        <v>10827500</v>
      </c>
      <c r="O122" s="605">
        <f t="shared" si="48"/>
        <v>129930000</v>
      </c>
    </row>
    <row r="123" spans="1:15" s="606" customFormat="1" ht="22.5" customHeight="1">
      <c r="A123" s="602" t="s">
        <v>20</v>
      </c>
      <c r="B123" s="603" t="s">
        <v>417</v>
      </c>
      <c r="C123" s="604">
        <f>3200936+412855</f>
        <v>3613791</v>
      </c>
      <c r="D123" s="604">
        <f t="shared" ref="D123:N123" si="51">3200936</f>
        <v>3200936</v>
      </c>
      <c r="E123" s="604">
        <f t="shared" si="51"/>
        <v>3200936</v>
      </c>
      <c r="F123" s="604">
        <f t="shared" si="51"/>
        <v>3200936</v>
      </c>
      <c r="G123" s="604">
        <f t="shared" si="51"/>
        <v>3200936</v>
      </c>
      <c r="H123" s="604">
        <f>3200936+33686153+82824+167910-249000-150000</f>
        <v>36738823</v>
      </c>
      <c r="I123" s="604">
        <f>3200936+33686154</f>
        <v>36887090</v>
      </c>
      <c r="J123" s="604">
        <f>3200936+33686153</f>
        <v>36887089</v>
      </c>
      <c r="K123" s="604">
        <f t="shared" si="51"/>
        <v>3200936</v>
      </c>
      <c r="L123" s="604">
        <f t="shared" si="51"/>
        <v>3200936</v>
      </c>
      <c r="M123" s="604">
        <f t="shared" si="51"/>
        <v>3200936</v>
      </c>
      <c r="N123" s="604">
        <f t="shared" si="51"/>
        <v>3200936</v>
      </c>
      <c r="O123" s="605">
        <f t="shared" si="48"/>
        <v>139734281</v>
      </c>
    </row>
    <row r="124" spans="1:15" s="606" customFormat="1" ht="22.5" customHeight="1">
      <c r="A124" s="602" t="s">
        <v>21</v>
      </c>
      <c r="B124" s="603" t="s">
        <v>10</v>
      </c>
      <c r="C124" s="604">
        <v>10000</v>
      </c>
      <c r="D124" s="604">
        <v>10000</v>
      </c>
      <c r="E124" s="604">
        <v>10000</v>
      </c>
      <c r="F124" s="604">
        <v>10000</v>
      </c>
      <c r="G124" s="604">
        <v>10000</v>
      </c>
      <c r="H124" s="604">
        <v>10000</v>
      </c>
      <c r="I124" s="604">
        <v>10000</v>
      </c>
      <c r="J124" s="604">
        <v>10000</v>
      </c>
      <c r="K124" s="604">
        <v>10000</v>
      </c>
      <c r="L124" s="604">
        <v>10000</v>
      </c>
      <c r="M124" s="604">
        <v>10000</v>
      </c>
      <c r="N124" s="604">
        <v>10000</v>
      </c>
      <c r="O124" s="605">
        <f t="shared" si="48"/>
        <v>120000</v>
      </c>
    </row>
    <row r="125" spans="1:15" s="606" customFormat="1" ht="22.5" customHeight="1">
      <c r="A125" s="602" t="s">
        <v>22</v>
      </c>
      <c r="B125" s="603" t="s">
        <v>373</v>
      </c>
      <c r="C125" s="604"/>
      <c r="D125" s="604"/>
      <c r="E125" s="604"/>
      <c r="F125" s="604"/>
      <c r="G125" s="604"/>
      <c r="H125" s="604"/>
      <c r="I125" s="604"/>
      <c r="J125" s="604"/>
      <c r="K125" s="604"/>
      <c r="L125" s="604"/>
      <c r="M125" s="604"/>
      <c r="N125" s="604"/>
      <c r="O125" s="605">
        <f t="shared" si="48"/>
        <v>0</v>
      </c>
    </row>
    <row r="126" spans="1:15" s="606" customFormat="1" ht="22.5" customHeight="1">
      <c r="A126" s="602" t="s">
        <v>23</v>
      </c>
      <c r="B126" s="603" t="s">
        <v>405</v>
      </c>
      <c r="C126" s="604"/>
      <c r="D126" s="604"/>
      <c r="E126" s="604"/>
      <c r="F126" s="604"/>
      <c r="G126" s="604"/>
      <c r="H126" s="604"/>
      <c r="I126" s="604"/>
      <c r="J126" s="604"/>
      <c r="K126" s="604"/>
      <c r="L126" s="604"/>
      <c r="M126" s="604"/>
      <c r="N126" s="604"/>
      <c r="O126" s="605">
        <f t="shared" si="48"/>
        <v>0</v>
      </c>
    </row>
    <row r="127" spans="1:15" s="606" customFormat="1" ht="22.5" customHeight="1" thickBot="1">
      <c r="A127" s="602" t="s">
        <v>24</v>
      </c>
      <c r="B127" s="603" t="s">
        <v>11</v>
      </c>
      <c r="C127" s="604">
        <v>606054429</v>
      </c>
      <c r="D127" s="604"/>
      <c r="E127" s="604">
        <v>72564</v>
      </c>
      <c r="F127" s="604"/>
      <c r="G127" s="604"/>
      <c r="H127" s="604">
        <f>-350000</f>
        <v>-350000</v>
      </c>
      <c r="I127" s="604"/>
      <c r="J127" s="604"/>
      <c r="K127" s="604"/>
      <c r="L127" s="604"/>
      <c r="M127" s="604"/>
      <c r="N127" s="604"/>
      <c r="O127" s="605">
        <f t="shared" si="48"/>
        <v>605776993</v>
      </c>
    </row>
    <row r="128" spans="1:15" s="611" customFormat="1" ht="15.95" customHeight="1" thickBot="1">
      <c r="A128" s="607"/>
      <c r="B128" s="608" t="s">
        <v>106</v>
      </c>
      <c r="C128" s="609">
        <f t="shared" ref="C128:N128" si="52">SUM(C119:C127)</f>
        <v>643048808</v>
      </c>
      <c r="D128" s="609">
        <f t="shared" si="52"/>
        <v>36581524</v>
      </c>
      <c r="E128" s="609">
        <f t="shared" si="52"/>
        <v>40114602</v>
      </c>
      <c r="F128" s="609">
        <f t="shared" si="52"/>
        <v>36581524</v>
      </c>
      <c r="G128" s="609">
        <f t="shared" si="52"/>
        <v>36581524</v>
      </c>
      <c r="H128" s="609">
        <f t="shared" si="52"/>
        <v>78364541</v>
      </c>
      <c r="I128" s="609">
        <f t="shared" si="52"/>
        <v>126240196</v>
      </c>
      <c r="J128" s="609">
        <f t="shared" si="52"/>
        <v>72767677</v>
      </c>
      <c r="K128" s="609">
        <f t="shared" si="52"/>
        <v>56283224</v>
      </c>
      <c r="L128" s="609">
        <f t="shared" si="52"/>
        <v>36581524</v>
      </c>
      <c r="M128" s="609">
        <f t="shared" si="52"/>
        <v>36581524</v>
      </c>
      <c r="N128" s="609">
        <f t="shared" si="52"/>
        <v>36581523</v>
      </c>
      <c r="O128" s="610">
        <f t="shared" si="48"/>
        <v>1236308191</v>
      </c>
    </row>
    <row r="129" spans="1:15" s="611" customFormat="1" ht="15.95" customHeight="1">
      <c r="A129" s="612"/>
      <c r="B129" s="613"/>
      <c r="C129" s="614"/>
      <c r="D129" s="614"/>
      <c r="E129" s="614"/>
      <c r="F129" s="614"/>
      <c r="G129" s="614"/>
      <c r="H129" s="614"/>
      <c r="I129" s="614"/>
      <c r="J129" s="614"/>
      <c r="K129" s="614"/>
      <c r="L129" s="614"/>
      <c r="M129" s="614"/>
      <c r="N129" s="614"/>
      <c r="O129" s="614"/>
    </row>
    <row r="130" spans="1:15" s="618" customFormat="1" ht="15.95" customHeight="1">
      <c r="A130" s="615"/>
      <c r="B130" s="616"/>
      <c r="C130" s="617"/>
      <c r="D130" s="617"/>
      <c r="E130" s="617"/>
      <c r="F130" s="617"/>
      <c r="G130" s="617"/>
      <c r="H130" s="617"/>
      <c r="I130" s="617"/>
      <c r="J130" s="617"/>
      <c r="K130" s="617"/>
      <c r="L130" s="617"/>
      <c r="M130" s="617"/>
      <c r="N130" s="617"/>
      <c r="O130" s="617"/>
    </row>
    <row r="131" spans="1:15" s="601" customFormat="1" ht="15" customHeight="1" thickBot="1">
      <c r="A131" s="619"/>
      <c r="B131" s="802" t="s">
        <v>54</v>
      </c>
      <c r="C131" s="803"/>
      <c r="D131" s="803"/>
      <c r="E131" s="803"/>
      <c r="F131" s="803"/>
      <c r="G131" s="803"/>
      <c r="H131" s="803"/>
      <c r="I131" s="803"/>
      <c r="J131" s="803"/>
      <c r="K131" s="803"/>
      <c r="L131" s="803"/>
      <c r="M131" s="803"/>
      <c r="N131" s="803"/>
      <c r="O131" s="804"/>
    </row>
    <row r="132" spans="1:15" s="606" customFormat="1" ht="22.5" customHeight="1">
      <c r="A132" s="602" t="s">
        <v>16</v>
      </c>
      <c r="B132" s="603" t="s">
        <v>59</v>
      </c>
      <c r="C132" s="604">
        <f>5217471</f>
        <v>5217471</v>
      </c>
      <c r="D132" s="604">
        <f t="shared" ref="D132:N132" si="53">5217471</f>
        <v>5217471</v>
      </c>
      <c r="E132" s="604">
        <f>5217471+652240</f>
        <v>5869711</v>
      </c>
      <c r="F132" s="604">
        <f t="shared" si="53"/>
        <v>5217471</v>
      </c>
      <c r="G132" s="604">
        <f t="shared" si="53"/>
        <v>5217471</v>
      </c>
      <c r="H132" s="604">
        <f>5217471+4506267+2595000+80625-3120000-136576</f>
        <v>9142787</v>
      </c>
      <c r="I132" s="604">
        <f>5217471+4506268</f>
        <v>9723739</v>
      </c>
      <c r="J132" s="604">
        <f>5217471+4506268</f>
        <v>9723739</v>
      </c>
      <c r="K132" s="604">
        <f t="shared" si="53"/>
        <v>5217471</v>
      </c>
      <c r="L132" s="604">
        <f t="shared" si="53"/>
        <v>5217471</v>
      </c>
      <c r="M132" s="604">
        <f t="shared" si="53"/>
        <v>5217471</v>
      </c>
      <c r="N132" s="604">
        <f t="shared" si="53"/>
        <v>5217471</v>
      </c>
      <c r="O132" s="605">
        <f>SUM(C132:N132)</f>
        <v>76199744</v>
      </c>
    </row>
    <row r="133" spans="1:15" s="606" customFormat="1" ht="22.5" customHeight="1">
      <c r="A133" s="602" t="s">
        <v>17</v>
      </c>
      <c r="B133" s="603" t="s">
        <v>174</v>
      </c>
      <c r="C133" s="604">
        <f>1132689</f>
        <v>1132689</v>
      </c>
      <c r="D133" s="604">
        <f t="shared" ref="D133:N133" si="54">1132689</f>
        <v>1132689</v>
      </c>
      <c r="E133" s="604">
        <f>1132689+63592</f>
        <v>1196281</v>
      </c>
      <c r="F133" s="604">
        <f t="shared" si="54"/>
        <v>1132689</v>
      </c>
      <c r="G133" s="604">
        <f t="shared" si="54"/>
        <v>1132689</v>
      </c>
      <c r="H133" s="604">
        <f>1132689+930804+506025+27590-608400-30047</f>
        <v>1958661</v>
      </c>
      <c r="I133" s="604">
        <f>1132689+930811</f>
        <v>2063500</v>
      </c>
      <c r="J133" s="604">
        <f>1132689+930811</f>
        <v>2063500</v>
      </c>
      <c r="K133" s="604">
        <f t="shared" si="54"/>
        <v>1132689</v>
      </c>
      <c r="L133" s="604">
        <f t="shared" si="54"/>
        <v>1132689</v>
      </c>
      <c r="M133" s="604">
        <f t="shared" si="54"/>
        <v>1132689</v>
      </c>
      <c r="N133" s="604">
        <f t="shared" si="54"/>
        <v>1132689</v>
      </c>
      <c r="O133" s="605">
        <f>SUM(C133:N133)</f>
        <v>16343454</v>
      </c>
    </row>
    <row r="134" spans="1:15" s="606" customFormat="1" ht="22.5" customHeight="1">
      <c r="A134" s="602" t="s">
        <v>18</v>
      </c>
      <c r="B134" s="603" t="s">
        <v>133</v>
      </c>
      <c r="C134" s="604">
        <f>12710254</f>
        <v>12710254</v>
      </c>
      <c r="D134" s="604">
        <f t="shared" ref="D134:N134" si="55">12710254</f>
        <v>12710254</v>
      </c>
      <c r="E134" s="604">
        <f>12710254+635000+101600</f>
        <v>13446854</v>
      </c>
      <c r="F134" s="604">
        <f t="shared" si="55"/>
        <v>12710254</v>
      </c>
      <c r="G134" s="604">
        <f t="shared" si="55"/>
        <v>12710254</v>
      </c>
      <c r="H134" s="604">
        <f>12710254+20206980+533400+167910+190500+34360+13694572+9032376+6502400+702474+132358+1911775+1441313</f>
        <v>67260672</v>
      </c>
      <c r="I134" s="604">
        <f>12710254+20206983</f>
        <v>32917237</v>
      </c>
      <c r="J134" s="604">
        <f>12710254+20206983</f>
        <v>32917237</v>
      </c>
      <c r="K134" s="604">
        <f t="shared" si="55"/>
        <v>12710254</v>
      </c>
      <c r="L134" s="604">
        <f t="shared" si="55"/>
        <v>12710254</v>
      </c>
      <c r="M134" s="604">
        <f t="shared" si="55"/>
        <v>12710254</v>
      </c>
      <c r="N134" s="604">
        <f t="shared" si="55"/>
        <v>12710254</v>
      </c>
      <c r="O134" s="605">
        <f>SUM(C134:N134)</f>
        <v>248224032</v>
      </c>
    </row>
    <row r="135" spans="1:15" s="606" customFormat="1" ht="22.5" customHeight="1">
      <c r="A135" s="602" t="s">
        <v>19</v>
      </c>
      <c r="B135" s="603" t="s">
        <v>175</v>
      </c>
      <c r="C135" s="604">
        <f>792500</f>
        <v>792500</v>
      </c>
      <c r="D135" s="604">
        <f t="shared" ref="D135:N135" si="56">792500</f>
        <v>792500</v>
      </c>
      <c r="E135" s="604">
        <f t="shared" si="56"/>
        <v>792500</v>
      </c>
      <c r="F135" s="604">
        <f t="shared" si="56"/>
        <v>792500</v>
      </c>
      <c r="G135" s="604">
        <f t="shared" si="56"/>
        <v>792500</v>
      </c>
      <c r="H135" s="604">
        <f t="shared" si="56"/>
        <v>792500</v>
      </c>
      <c r="I135" s="604">
        <f t="shared" si="56"/>
        <v>792500</v>
      </c>
      <c r="J135" s="604">
        <f>792500+100000</f>
        <v>892500</v>
      </c>
      <c r="K135" s="604">
        <f t="shared" si="56"/>
        <v>792500</v>
      </c>
      <c r="L135" s="604">
        <f t="shared" si="56"/>
        <v>792500</v>
      </c>
      <c r="M135" s="604">
        <f>792500+100000</f>
        <v>892500</v>
      </c>
      <c r="N135" s="604">
        <f t="shared" si="56"/>
        <v>792500</v>
      </c>
      <c r="O135" s="605">
        <f>SUM(C135:N135)</f>
        <v>9710000</v>
      </c>
    </row>
    <row r="136" spans="1:15" s="606" customFormat="1" ht="22.5" customHeight="1">
      <c r="A136" s="602" t="s">
        <v>20</v>
      </c>
      <c r="B136" s="603" t="s">
        <v>652</v>
      </c>
      <c r="C136" s="604"/>
      <c r="D136" s="604"/>
      <c r="E136" s="604">
        <v>272642</v>
      </c>
      <c r="F136" s="604"/>
      <c r="G136" s="604"/>
      <c r="H136" s="604"/>
      <c r="I136" s="604"/>
      <c r="J136" s="604"/>
      <c r="K136" s="604"/>
      <c r="L136" s="604"/>
      <c r="M136" s="604"/>
      <c r="N136" s="604"/>
      <c r="O136" s="605">
        <f>SUM(C136:N136)</f>
        <v>272642</v>
      </c>
    </row>
    <row r="137" spans="1:15" s="606" customFormat="1" ht="22.5" customHeight="1">
      <c r="A137" s="602" t="s">
        <v>21</v>
      </c>
      <c r="B137" s="603" t="s">
        <v>601</v>
      </c>
      <c r="C137" s="604">
        <f>8998687+375000</f>
        <v>9373687</v>
      </c>
      <c r="D137" s="604">
        <f t="shared" ref="D137:M137" si="57">8998687</f>
        <v>8998687</v>
      </c>
      <c r="E137" s="604">
        <f>8998687+3939780+3987864</f>
        <v>16926331</v>
      </c>
      <c r="F137" s="604">
        <f t="shared" si="57"/>
        <v>8998687</v>
      </c>
      <c r="G137" s="604">
        <f t="shared" si="57"/>
        <v>8998687</v>
      </c>
      <c r="H137" s="604">
        <f>8998687+1224473-374484</f>
        <v>9848676</v>
      </c>
      <c r="I137" s="604">
        <f t="shared" si="57"/>
        <v>8998687</v>
      </c>
      <c r="J137" s="604">
        <f>8998687+375000</f>
        <v>9373687</v>
      </c>
      <c r="K137" s="604">
        <f t="shared" si="57"/>
        <v>8998687</v>
      </c>
      <c r="L137" s="604">
        <f t="shared" si="57"/>
        <v>8998687</v>
      </c>
      <c r="M137" s="604">
        <f t="shared" si="57"/>
        <v>8998687</v>
      </c>
      <c r="N137" s="604">
        <f>8998683</f>
        <v>8998683</v>
      </c>
      <c r="O137" s="605">
        <f t="shared" ref="O137:O144" si="58">SUM(C137:N137)</f>
        <v>117511873</v>
      </c>
    </row>
    <row r="138" spans="1:15" s="606" customFormat="1" ht="22.5" customHeight="1">
      <c r="A138" s="602" t="s">
        <v>22</v>
      </c>
      <c r="B138" s="603" t="s">
        <v>602</v>
      </c>
      <c r="C138" s="604"/>
      <c r="D138" s="604"/>
      <c r="E138" s="604">
        <f>17830000+1440000</f>
        <v>19270000</v>
      </c>
      <c r="F138" s="604"/>
      <c r="G138" s="604"/>
      <c r="H138" s="604">
        <f>30000</f>
        <v>30000</v>
      </c>
      <c r="I138" s="604"/>
      <c r="J138" s="604">
        <f>19701700+2500000</f>
        <v>22201700</v>
      </c>
      <c r="K138" s="604"/>
      <c r="L138" s="604"/>
      <c r="M138" s="604"/>
      <c r="N138" s="604"/>
      <c r="O138" s="605">
        <f t="shared" si="58"/>
        <v>41501700</v>
      </c>
    </row>
    <row r="139" spans="1:15" s="606" customFormat="1" ht="22.5" customHeight="1">
      <c r="A139" s="602" t="s">
        <v>23</v>
      </c>
      <c r="B139" s="603" t="s">
        <v>556</v>
      </c>
      <c r="C139" s="604"/>
      <c r="D139" s="604"/>
      <c r="E139" s="604">
        <f>105000+78540+119640+280587+241524+1919391-3987864</f>
        <v>-1243182</v>
      </c>
      <c r="F139" s="604"/>
      <c r="G139" s="604"/>
      <c r="H139" s="604">
        <f>-5717922+82824-350000-152000+187376+293730-1919391-1224473-1000000-3101025-2814800+374484-605530+782302-190500-142575-249000-150000-2774000-5000000-3086614-597073-30000</f>
        <v>-27384187</v>
      </c>
      <c r="I139" s="604"/>
      <c r="J139" s="604"/>
      <c r="K139" s="604"/>
      <c r="L139" s="604"/>
      <c r="M139" s="604"/>
      <c r="N139" s="604">
        <v>73618052</v>
      </c>
      <c r="O139" s="605">
        <f t="shared" si="58"/>
        <v>44990683</v>
      </c>
    </row>
    <row r="140" spans="1:15" s="606" customFormat="1" ht="22.5" customHeight="1">
      <c r="A140" s="602" t="s">
        <v>24</v>
      </c>
      <c r="B140" s="603" t="s">
        <v>219</v>
      </c>
      <c r="C140" s="604">
        <f>29531785</f>
        <v>29531785</v>
      </c>
      <c r="D140" s="604">
        <f t="shared" ref="D140:M140" si="59">29531785</f>
        <v>29531785</v>
      </c>
      <c r="E140" s="604">
        <f>29531785-635000-101600</f>
        <v>28795185</v>
      </c>
      <c r="F140" s="604">
        <f t="shared" si="59"/>
        <v>29531785</v>
      </c>
      <c r="G140" s="604">
        <f>29531785+15494000</f>
        <v>45025785</v>
      </c>
      <c r="H140" s="604">
        <f>29531785+5717922+1000000-76200-13694572-6566274+9196991-1399405+6779509-946684-2746211-1911775-1441313</f>
        <v>23443773</v>
      </c>
      <c r="I140" s="604">
        <f t="shared" si="59"/>
        <v>29531785</v>
      </c>
      <c r="J140" s="604">
        <f t="shared" si="59"/>
        <v>29531785</v>
      </c>
      <c r="K140" s="604">
        <f t="shared" si="59"/>
        <v>29531785</v>
      </c>
      <c r="L140" s="604">
        <f t="shared" si="59"/>
        <v>29531785</v>
      </c>
      <c r="M140" s="604">
        <f t="shared" si="59"/>
        <v>29531785</v>
      </c>
      <c r="N140" s="604">
        <f>29531779</f>
        <v>29531779</v>
      </c>
      <c r="O140" s="605">
        <f t="shared" si="58"/>
        <v>363050802</v>
      </c>
    </row>
    <row r="141" spans="1:15" s="606" customFormat="1" ht="22.5" customHeight="1">
      <c r="A141" s="602" t="s">
        <v>25</v>
      </c>
      <c r="B141" s="603" t="s">
        <v>178</v>
      </c>
      <c r="C141" s="604">
        <f>11383379</f>
        <v>11383379</v>
      </c>
      <c r="D141" s="604">
        <f t="shared" ref="D141:M141" si="60">11383379</f>
        <v>11383379</v>
      </c>
      <c r="E141" s="604">
        <f t="shared" si="60"/>
        <v>11383379</v>
      </c>
      <c r="F141" s="604">
        <f t="shared" si="60"/>
        <v>11383379</v>
      </c>
      <c r="G141" s="604">
        <f>11383379+6350000</f>
        <v>17733379</v>
      </c>
      <c r="H141" s="604">
        <f>11383379+76200-9032376+13737230+597073</f>
        <v>16761506</v>
      </c>
      <c r="I141" s="604">
        <f t="shared" si="60"/>
        <v>11383379</v>
      </c>
      <c r="J141" s="604">
        <f t="shared" si="60"/>
        <v>11383379</v>
      </c>
      <c r="K141" s="604">
        <f t="shared" si="60"/>
        <v>11383379</v>
      </c>
      <c r="L141" s="604">
        <f t="shared" si="60"/>
        <v>11383379</v>
      </c>
      <c r="M141" s="604">
        <f t="shared" si="60"/>
        <v>11383379</v>
      </c>
      <c r="N141" s="604">
        <f>11383376</f>
        <v>11383376</v>
      </c>
      <c r="O141" s="605">
        <f t="shared" si="58"/>
        <v>148328672</v>
      </c>
    </row>
    <row r="142" spans="1:15" s="606" customFormat="1" ht="22.5" customHeight="1">
      <c r="A142" s="602" t="s">
        <v>26</v>
      </c>
      <c r="B142" s="603" t="s">
        <v>222</v>
      </c>
      <c r="C142" s="604"/>
      <c r="D142" s="604"/>
      <c r="E142" s="604"/>
      <c r="F142" s="604"/>
      <c r="G142" s="604"/>
      <c r="H142" s="604"/>
      <c r="I142" s="604"/>
      <c r="J142" s="604"/>
      <c r="K142" s="604"/>
      <c r="L142" s="604"/>
      <c r="M142" s="604"/>
      <c r="N142" s="604"/>
      <c r="O142" s="605">
        <f t="shared" si="58"/>
        <v>0</v>
      </c>
    </row>
    <row r="143" spans="1:15" s="606" customFormat="1" ht="22.5" customHeight="1" thickBot="1">
      <c r="A143" s="602" t="s">
        <v>27</v>
      </c>
      <c r="B143" s="603" t="s">
        <v>12</v>
      </c>
      <c r="C143" s="604">
        <f>13492246+7960578</f>
        <v>21452824</v>
      </c>
      <c r="D143" s="604">
        <f t="shared" ref="D143:M143" si="61">13492246</f>
        <v>13492246</v>
      </c>
      <c r="E143" s="604">
        <f>13492246+72564</f>
        <v>13564810</v>
      </c>
      <c r="F143" s="604">
        <f t="shared" si="61"/>
        <v>13492246</v>
      </c>
      <c r="G143" s="604">
        <f t="shared" si="61"/>
        <v>13492246</v>
      </c>
      <c r="H143" s="604">
        <f>13492246+411269+605530-782302</f>
        <v>13726743</v>
      </c>
      <c r="I143" s="604">
        <f t="shared" si="61"/>
        <v>13492246</v>
      </c>
      <c r="J143" s="604">
        <f t="shared" si="61"/>
        <v>13492246</v>
      </c>
      <c r="K143" s="604">
        <f t="shared" si="61"/>
        <v>13492246</v>
      </c>
      <c r="L143" s="604">
        <f t="shared" si="61"/>
        <v>13492246</v>
      </c>
      <c r="M143" s="604">
        <f t="shared" si="61"/>
        <v>13492246</v>
      </c>
      <c r="N143" s="604">
        <f>13492244</f>
        <v>13492244</v>
      </c>
      <c r="O143" s="605">
        <f t="shared" si="58"/>
        <v>170174589</v>
      </c>
    </row>
    <row r="144" spans="1:15" s="611" customFormat="1" ht="15.95" customHeight="1" thickBot="1">
      <c r="A144" s="607"/>
      <c r="B144" s="608" t="s">
        <v>107</v>
      </c>
      <c r="C144" s="609">
        <f t="shared" ref="C144:N144" si="62">SUM(C132:C143)</f>
        <v>91594589</v>
      </c>
      <c r="D144" s="609">
        <f t="shared" si="62"/>
        <v>83259011</v>
      </c>
      <c r="E144" s="609">
        <f t="shared" si="62"/>
        <v>110274511</v>
      </c>
      <c r="F144" s="609">
        <f t="shared" si="62"/>
        <v>83259011</v>
      </c>
      <c r="G144" s="609">
        <f t="shared" si="62"/>
        <v>105103011</v>
      </c>
      <c r="H144" s="609">
        <f t="shared" si="62"/>
        <v>115581131</v>
      </c>
      <c r="I144" s="609">
        <f t="shared" si="62"/>
        <v>108903073</v>
      </c>
      <c r="J144" s="609">
        <f t="shared" si="62"/>
        <v>131579773</v>
      </c>
      <c r="K144" s="609">
        <f t="shared" si="62"/>
        <v>83259011</v>
      </c>
      <c r="L144" s="609">
        <f t="shared" si="62"/>
        <v>83259011</v>
      </c>
      <c r="M144" s="609">
        <f t="shared" si="62"/>
        <v>83359011</v>
      </c>
      <c r="N144" s="609">
        <f t="shared" si="62"/>
        <v>156877048</v>
      </c>
      <c r="O144" s="610">
        <f t="shared" si="58"/>
        <v>1236308191</v>
      </c>
    </row>
    <row r="145" spans="1:15" s="611" customFormat="1" ht="15.95" customHeight="1" thickBot="1">
      <c r="A145" s="620"/>
      <c r="B145" s="621"/>
      <c r="C145" s="622"/>
      <c r="D145" s="622"/>
      <c r="E145" s="622"/>
      <c r="F145" s="622"/>
      <c r="G145" s="622"/>
      <c r="H145" s="622"/>
      <c r="I145" s="622"/>
      <c r="J145" s="622"/>
      <c r="K145" s="622"/>
      <c r="L145" s="622"/>
      <c r="M145" s="622"/>
      <c r="N145" s="622"/>
      <c r="O145" s="622"/>
    </row>
    <row r="146" spans="1:15" ht="16.5" thickBot="1">
      <c r="A146" s="607"/>
      <c r="B146" s="608" t="s">
        <v>108</v>
      </c>
      <c r="C146" s="609">
        <f t="shared" ref="C146:O146" si="63">C128-C144</f>
        <v>551454219</v>
      </c>
      <c r="D146" s="609">
        <f t="shared" si="63"/>
        <v>-46677487</v>
      </c>
      <c r="E146" s="609">
        <f t="shared" si="63"/>
        <v>-70159909</v>
      </c>
      <c r="F146" s="609">
        <f t="shared" si="63"/>
        <v>-46677487</v>
      </c>
      <c r="G146" s="609">
        <f t="shared" si="63"/>
        <v>-68521487</v>
      </c>
      <c r="H146" s="609">
        <f t="shared" si="63"/>
        <v>-37216590</v>
      </c>
      <c r="I146" s="609">
        <f t="shared" si="63"/>
        <v>17337123</v>
      </c>
      <c r="J146" s="609">
        <f t="shared" si="63"/>
        <v>-58812096</v>
      </c>
      <c r="K146" s="609">
        <f t="shared" si="63"/>
        <v>-26975787</v>
      </c>
      <c r="L146" s="609">
        <f t="shared" si="63"/>
        <v>-46677487</v>
      </c>
      <c r="M146" s="609">
        <f t="shared" si="63"/>
        <v>-46777487</v>
      </c>
      <c r="N146" s="609">
        <f t="shared" si="63"/>
        <v>-120295525</v>
      </c>
      <c r="O146" s="610">
        <f t="shared" si="63"/>
        <v>0</v>
      </c>
    </row>
    <row r="149" spans="1:15" ht="20.25" customHeight="1">
      <c r="A149" s="796" t="s">
        <v>707</v>
      </c>
      <c r="B149" s="797"/>
      <c r="C149" s="797"/>
      <c r="D149" s="797"/>
      <c r="E149" s="797"/>
      <c r="F149" s="797"/>
      <c r="G149" s="797"/>
      <c r="H149" s="797"/>
      <c r="I149" s="797"/>
      <c r="J149" s="797"/>
      <c r="K149" s="797"/>
      <c r="L149" s="797"/>
      <c r="M149" s="797"/>
      <c r="N149" s="797"/>
      <c r="O149" s="797"/>
    </row>
    <row r="150" spans="1:15" ht="21" customHeight="1">
      <c r="A150" s="796" t="s">
        <v>761</v>
      </c>
      <c r="B150" s="796"/>
      <c r="C150" s="796"/>
      <c r="D150" s="796"/>
      <c r="E150" s="796"/>
      <c r="F150" s="796"/>
      <c r="G150" s="796"/>
      <c r="H150" s="796"/>
      <c r="I150" s="796"/>
      <c r="J150" s="796"/>
      <c r="K150" s="796"/>
      <c r="L150" s="796"/>
      <c r="M150" s="796"/>
      <c r="N150" s="796"/>
      <c r="O150" s="796"/>
    </row>
    <row r="151" spans="1:15" ht="21" customHeight="1">
      <c r="A151" s="595"/>
      <c r="B151" s="595"/>
      <c r="C151" s="595"/>
      <c r="D151" s="595"/>
      <c r="E151" s="595"/>
      <c r="F151" s="595"/>
      <c r="G151" s="595"/>
      <c r="H151" s="595"/>
      <c r="I151" s="595"/>
      <c r="J151" s="595"/>
      <c r="K151" s="595"/>
      <c r="L151" s="595"/>
      <c r="M151" s="595"/>
      <c r="N151" s="595"/>
      <c r="O151" s="595"/>
    </row>
    <row r="152" spans="1:15" ht="16.5" thickBot="1">
      <c r="O152" s="596" t="s">
        <v>588</v>
      </c>
    </row>
    <row r="153" spans="1:15" s="592" customFormat="1" ht="31.5" customHeight="1" thickBot="1">
      <c r="A153" s="597" t="s">
        <v>14</v>
      </c>
      <c r="B153" s="598" t="s">
        <v>58</v>
      </c>
      <c r="C153" s="598" t="s">
        <v>70</v>
      </c>
      <c r="D153" s="598" t="s">
        <v>71</v>
      </c>
      <c r="E153" s="598" t="s">
        <v>72</v>
      </c>
      <c r="F153" s="598" t="s">
        <v>73</v>
      </c>
      <c r="G153" s="598" t="s">
        <v>74</v>
      </c>
      <c r="H153" s="598" t="s">
        <v>75</v>
      </c>
      <c r="I153" s="598" t="s">
        <v>76</v>
      </c>
      <c r="J153" s="598" t="s">
        <v>77</v>
      </c>
      <c r="K153" s="598" t="s">
        <v>78</v>
      </c>
      <c r="L153" s="598" t="s">
        <v>79</v>
      </c>
      <c r="M153" s="598" t="s">
        <v>80</v>
      </c>
      <c r="N153" s="598" t="s">
        <v>81</v>
      </c>
      <c r="O153" s="599" t="s">
        <v>48</v>
      </c>
    </row>
    <row r="154" spans="1:15" s="601" customFormat="1" ht="15" customHeight="1" thickBot="1">
      <c r="A154" s="600"/>
      <c r="B154" s="799" t="s">
        <v>53</v>
      </c>
      <c r="C154" s="800"/>
      <c r="D154" s="800"/>
      <c r="E154" s="800"/>
      <c r="F154" s="800"/>
      <c r="G154" s="800"/>
      <c r="H154" s="800"/>
      <c r="I154" s="800"/>
      <c r="J154" s="800"/>
      <c r="K154" s="800"/>
      <c r="L154" s="800"/>
      <c r="M154" s="800"/>
      <c r="N154" s="800"/>
      <c r="O154" s="801"/>
    </row>
    <row r="155" spans="1:15" s="606" customFormat="1" ht="22.5" customHeight="1">
      <c r="A155" s="602" t="s">
        <v>16</v>
      </c>
      <c r="B155" s="603" t="s">
        <v>371</v>
      </c>
      <c r="C155" s="604">
        <v>18199640</v>
      </c>
      <c r="D155" s="604">
        <v>18199640</v>
      </c>
      <c r="E155" s="604">
        <f>18199640+280587+241524</f>
        <v>18721751</v>
      </c>
      <c r="F155" s="604">
        <v>18199640</v>
      </c>
      <c r="G155" s="604">
        <v>18199640</v>
      </c>
      <c r="H155" s="604">
        <f>18199640+411269+533400-152000+187376+293730-2814800</f>
        <v>16658615</v>
      </c>
      <c r="I155" s="604">
        <v>18199640</v>
      </c>
      <c r="J155" s="604">
        <f>18199640+19701700+2500000</f>
        <v>40401340</v>
      </c>
      <c r="K155" s="604">
        <f>18199640+585071+281066+540000</f>
        <v>19605777</v>
      </c>
      <c r="L155" s="604">
        <v>18199640</v>
      </c>
      <c r="M155" s="604">
        <v>18199640</v>
      </c>
      <c r="N155" s="604">
        <v>18199639</v>
      </c>
      <c r="O155" s="605">
        <f t="shared" ref="O155:O164" si="64">SUM(C155:N155)</f>
        <v>240984602</v>
      </c>
    </row>
    <row r="156" spans="1:15" s="606" customFormat="1" ht="22.5" customHeight="1">
      <c r="A156" s="602" t="s">
        <v>17</v>
      </c>
      <c r="B156" s="603" t="s">
        <v>601</v>
      </c>
      <c r="C156" s="604">
        <f>4343448</f>
        <v>4343448</v>
      </c>
      <c r="D156" s="604">
        <f t="shared" ref="D156:N156" si="65">4343448</f>
        <v>4343448</v>
      </c>
      <c r="E156" s="604">
        <f>4343448+105000+715832+78540+119640+1919391</f>
        <v>7281851</v>
      </c>
      <c r="F156" s="604">
        <f t="shared" si="65"/>
        <v>4343448</v>
      </c>
      <c r="G156" s="604">
        <f t="shared" si="65"/>
        <v>4343448</v>
      </c>
      <c r="H156" s="604">
        <f>4343448+1418795-1919391+2706807+112502</f>
        <v>6662161</v>
      </c>
      <c r="I156" s="604">
        <f t="shared" si="65"/>
        <v>4343448</v>
      </c>
      <c r="J156" s="604">
        <f>4343448-19701700</f>
        <v>-15358252</v>
      </c>
      <c r="K156" s="604">
        <f>4343448+19701700+37000+75000+962832+585681+536874-22400+366520+18253</f>
        <v>26604908</v>
      </c>
      <c r="L156" s="604">
        <f t="shared" si="65"/>
        <v>4343448</v>
      </c>
      <c r="M156" s="604">
        <f t="shared" si="65"/>
        <v>4343448</v>
      </c>
      <c r="N156" s="604">
        <f t="shared" si="65"/>
        <v>4343448</v>
      </c>
      <c r="O156" s="605">
        <f t="shared" si="64"/>
        <v>59938252</v>
      </c>
    </row>
    <row r="157" spans="1:15" s="606" customFormat="1" ht="22.5" customHeight="1">
      <c r="A157" s="602" t="s">
        <v>18</v>
      </c>
      <c r="B157" s="603" t="s">
        <v>600</v>
      </c>
      <c r="C157" s="604"/>
      <c r="D157" s="604"/>
      <c r="E157" s="604"/>
      <c r="F157" s="604"/>
      <c r="G157" s="604"/>
      <c r="H157" s="604">
        <f>7817442</f>
        <v>7817442</v>
      </c>
      <c r="I157" s="604">
        <v>55972518</v>
      </c>
      <c r="J157" s="604"/>
      <c r="K157" s="604"/>
      <c r="L157" s="604"/>
      <c r="M157" s="604"/>
      <c r="N157" s="604"/>
      <c r="O157" s="605">
        <f t="shared" si="64"/>
        <v>63789960</v>
      </c>
    </row>
    <row r="158" spans="1:15" s="606" customFormat="1" ht="22.5" customHeight="1">
      <c r="A158" s="602" t="s">
        <v>19</v>
      </c>
      <c r="B158" s="603" t="s">
        <v>165</v>
      </c>
      <c r="C158" s="604">
        <f>10827500</f>
        <v>10827500</v>
      </c>
      <c r="D158" s="604">
        <f t="shared" ref="D158:N158" si="66">10827500</f>
        <v>10827500</v>
      </c>
      <c r="E158" s="604">
        <f t="shared" si="66"/>
        <v>10827500</v>
      </c>
      <c r="F158" s="604">
        <f t="shared" si="66"/>
        <v>10827500</v>
      </c>
      <c r="G158" s="604">
        <f t="shared" si="66"/>
        <v>10827500</v>
      </c>
      <c r="H158" s="604">
        <f t="shared" si="66"/>
        <v>10827500</v>
      </c>
      <c r="I158" s="604">
        <f t="shared" si="66"/>
        <v>10827500</v>
      </c>
      <c r="J158" s="604">
        <f t="shared" si="66"/>
        <v>10827500</v>
      </c>
      <c r="K158" s="604">
        <f t="shared" si="66"/>
        <v>10827500</v>
      </c>
      <c r="L158" s="604">
        <f t="shared" si="66"/>
        <v>10827500</v>
      </c>
      <c r="M158" s="604">
        <f t="shared" si="66"/>
        <v>10827500</v>
      </c>
      <c r="N158" s="604">
        <f t="shared" si="66"/>
        <v>10827500</v>
      </c>
      <c r="O158" s="605">
        <f t="shared" si="64"/>
        <v>129930000</v>
      </c>
    </row>
    <row r="159" spans="1:15" s="606" customFormat="1" ht="22.5" customHeight="1">
      <c r="A159" s="602" t="s">
        <v>20</v>
      </c>
      <c r="B159" s="603" t="s">
        <v>417</v>
      </c>
      <c r="C159" s="604">
        <f>3200936+412855</f>
        <v>3613791</v>
      </c>
      <c r="D159" s="604">
        <f t="shared" ref="D159:N159" si="67">3200936</f>
        <v>3200936</v>
      </c>
      <c r="E159" s="604">
        <f t="shared" si="67"/>
        <v>3200936</v>
      </c>
      <c r="F159" s="604">
        <f t="shared" si="67"/>
        <v>3200936</v>
      </c>
      <c r="G159" s="604">
        <f t="shared" si="67"/>
        <v>3200936</v>
      </c>
      <c r="H159" s="604">
        <f>3200936+33686153+82824+167910-249000-150000</f>
        <v>36738823</v>
      </c>
      <c r="I159" s="604">
        <f>3200936+33686154</f>
        <v>36887090</v>
      </c>
      <c r="J159" s="604">
        <f>3200936+33686153</f>
        <v>36887089</v>
      </c>
      <c r="K159" s="604">
        <f>3200936+33770000</f>
        <v>36970936</v>
      </c>
      <c r="L159" s="604">
        <f t="shared" si="67"/>
        <v>3200936</v>
      </c>
      <c r="M159" s="604">
        <f t="shared" si="67"/>
        <v>3200936</v>
      </c>
      <c r="N159" s="604">
        <f t="shared" si="67"/>
        <v>3200936</v>
      </c>
      <c r="O159" s="605">
        <f t="shared" si="64"/>
        <v>173504281</v>
      </c>
    </row>
    <row r="160" spans="1:15" s="606" customFormat="1" ht="22.5" customHeight="1">
      <c r="A160" s="602" t="s">
        <v>21</v>
      </c>
      <c r="B160" s="603" t="s">
        <v>10</v>
      </c>
      <c r="C160" s="604">
        <v>10000</v>
      </c>
      <c r="D160" s="604">
        <v>10000</v>
      </c>
      <c r="E160" s="604">
        <v>10000</v>
      </c>
      <c r="F160" s="604">
        <v>10000</v>
      </c>
      <c r="G160" s="604">
        <v>10000</v>
      </c>
      <c r="H160" s="604">
        <v>10000</v>
      </c>
      <c r="I160" s="604">
        <v>10000</v>
      </c>
      <c r="J160" s="604">
        <v>10000</v>
      </c>
      <c r="K160" s="604">
        <v>10000</v>
      </c>
      <c r="L160" s="604">
        <v>10000</v>
      </c>
      <c r="M160" s="604">
        <v>10000</v>
      </c>
      <c r="N160" s="604">
        <v>10000</v>
      </c>
      <c r="O160" s="605">
        <f t="shared" si="64"/>
        <v>120000</v>
      </c>
    </row>
    <row r="161" spans="1:15" s="606" customFormat="1" ht="22.5" customHeight="1">
      <c r="A161" s="602" t="s">
        <v>22</v>
      </c>
      <c r="B161" s="603" t="s">
        <v>373</v>
      </c>
      <c r="C161" s="604"/>
      <c r="D161" s="604"/>
      <c r="E161" s="604"/>
      <c r="F161" s="604"/>
      <c r="G161" s="604"/>
      <c r="H161" s="604"/>
      <c r="I161" s="604"/>
      <c r="J161" s="604"/>
      <c r="K161" s="604"/>
      <c r="L161" s="604"/>
      <c r="M161" s="604"/>
      <c r="N161" s="604"/>
      <c r="O161" s="605">
        <f t="shared" si="64"/>
        <v>0</v>
      </c>
    </row>
    <row r="162" spans="1:15" s="606" customFormat="1" ht="22.5" customHeight="1">
      <c r="A162" s="602" t="s">
        <v>23</v>
      </c>
      <c r="B162" s="603" t="s">
        <v>405</v>
      </c>
      <c r="C162" s="604"/>
      <c r="D162" s="604"/>
      <c r="E162" s="604"/>
      <c r="F162" s="604"/>
      <c r="G162" s="604"/>
      <c r="H162" s="604"/>
      <c r="I162" s="604"/>
      <c r="J162" s="604"/>
      <c r="K162" s="604"/>
      <c r="L162" s="604"/>
      <c r="M162" s="604"/>
      <c r="N162" s="604"/>
      <c r="O162" s="605">
        <f t="shared" si="64"/>
        <v>0</v>
      </c>
    </row>
    <row r="163" spans="1:15" s="606" customFormat="1" ht="22.5" customHeight="1" thickBot="1">
      <c r="A163" s="602" t="s">
        <v>24</v>
      </c>
      <c r="B163" s="603" t="s">
        <v>11</v>
      </c>
      <c r="C163" s="604">
        <v>606054429</v>
      </c>
      <c r="D163" s="604"/>
      <c r="E163" s="604">
        <v>72564</v>
      </c>
      <c r="F163" s="604"/>
      <c r="G163" s="604"/>
      <c r="H163" s="604">
        <f>-350000</f>
        <v>-350000</v>
      </c>
      <c r="I163" s="604"/>
      <c r="J163" s="604"/>
      <c r="K163" s="604">
        <v>9574</v>
      </c>
      <c r="L163" s="604"/>
      <c r="M163" s="604"/>
      <c r="N163" s="604"/>
      <c r="O163" s="605">
        <f t="shared" si="64"/>
        <v>605786567</v>
      </c>
    </row>
    <row r="164" spans="1:15" s="611" customFormat="1" ht="15.95" customHeight="1" thickBot="1">
      <c r="A164" s="607"/>
      <c r="B164" s="608" t="s">
        <v>106</v>
      </c>
      <c r="C164" s="609">
        <f t="shared" ref="C164:N164" si="68">SUM(C155:C163)</f>
        <v>643048808</v>
      </c>
      <c r="D164" s="609">
        <f t="shared" si="68"/>
        <v>36581524</v>
      </c>
      <c r="E164" s="609">
        <f t="shared" si="68"/>
        <v>40114602</v>
      </c>
      <c r="F164" s="609">
        <f t="shared" si="68"/>
        <v>36581524</v>
      </c>
      <c r="G164" s="609">
        <f t="shared" si="68"/>
        <v>36581524</v>
      </c>
      <c r="H164" s="609">
        <f t="shared" si="68"/>
        <v>78364541</v>
      </c>
      <c r="I164" s="609">
        <f t="shared" si="68"/>
        <v>126240196</v>
      </c>
      <c r="J164" s="609">
        <f t="shared" si="68"/>
        <v>72767677</v>
      </c>
      <c r="K164" s="609">
        <f t="shared" si="68"/>
        <v>94028695</v>
      </c>
      <c r="L164" s="609">
        <f t="shared" si="68"/>
        <v>36581524</v>
      </c>
      <c r="M164" s="609">
        <f t="shared" si="68"/>
        <v>36581524</v>
      </c>
      <c r="N164" s="609">
        <f t="shared" si="68"/>
        <v>36581523</v>
      </c>
      <c r="O164" s="610">
        <f t="shared" si="64"/>
        <v>1274053662</v>
      </c>
    </row>
    <row r="165" spans="1:15" s="611" customFormat="1" ht="15.95" customHeight="1">
      <c r="A165" s="612"/>
      <c r="B165" s="613"/>
      <c r="C165" s="614"/>
      <c r="D165" s="614"/>
      <c r="E165" s="614"/>
      <c r="F165" s="614"/>
      <c r="G165" s="614"/>
      <c r="H165" s="614"/>
      <c r="I165" s="614"/>
      <c r="J165" s="614"/>
      <c r="K165" s="614"/>
      <c r="L165" s="614"/>
      <c r="M165" s="614"/>
      <c r="N165" s="614"/>
      <c r="O165" s="614"/>
    </row>
    <row r="166" spans="1:15" s="618" customFormat="1" ht="15.95" customHeight="1">
      <c r="A166" s="615"/>
      <c r="B166" s="616"/>
      <c r="C166" s="617"/>
      <c r="D166" s="617"/>
      <c r="E166" s="617"/>
      <c r="F166" s="617"/>
      <c r="G166" s="617"/>
      <c r="H166" s="617"/>
      <c r="I166" s="617"/>
      <c r="J166" s="617"/>
      <c r="K166" s="617"/>
      <c r="L166" s="617"/>
      <c r="M166" s="617"/>
      <c r="N166" s="617"/>
      <c r="O166" s="617"/>
    </row>
    <row r="167" spans="1:15" s="601" customFormat="1" ht="15" customHeight="1" thickBot="1">
      <c r="A167" s="619"/>
      <c r="B167" s="802" t="s">
        <v>54</v>
      </c>
      <c r="C167" s="803"/>
      <c r="D167" s="803"/>
      <c r="E167" s="803"/>
      <c r="F167" s="803"/>
      <c r="G167" s="803"/>
      <c r="H167" s="803"/>
      <c r="I167" s="803"/>
      <c r="J167" s="803"/>
      <c r="K167" s="803"/>
      <c r="L167" s="803"/>
      <c r="M167" s="803"/>
      <c r="N167" s="803"/>
      <c r="O167" s="804"/>
    </row>
    <row r="168" spans="1:15" s="606" customFormat="1" ht="22.5" customHeight="1">
      <c r="A168" s="602" t="s">
        <v>16</v>
      </c>
      <c r="B168" s="603" t="s">
        <v>59</v>
      </c>
      <c r="C168" s="604">
        <f>5217471</f>
        <v>5217471</v>
      </c>
      <c r="D168" s="604">
        <f t="shared" ref="D168:N168" si="69">5217471</f>
        <v>5217471</v>
      </c>
      <c r="E168" s="604">
        <f>5217471+652240</f>
        <v>5869711</v>
      </c>
      <c r="F168" s="604">
        <f t="shared" si="69"/>
        <v>5217471</v>
      </c>
      <c r="G168" s="604">
        <f t="shared" si="69"/>
        <v>5217471</v>
      </c>
      <c r="H168" s="604">
        <f>5217471+4506267+2595000+80625-3120000-136576</f>
        <v>9142787</v>
      </c>
      <c r="I168" s="604">
        <f>5217471+4506268</f>
        <v>9723739</v>
      </c>
      <c r="J168" s="604">
        <f>5217471+4506268</f>
        <v>9723739</v>
      </c>
      <c r="K168" s="604">
        <f>5217471+600000-600000+533651+489180-346778-10908+805717+3000000</f>
        <v>9688333</v>
      </c>
      <c r="L168" s="604">
        <f t="shared" si="69"/>
        <v>5217471</v>
      </c>
      <c r="M168" s="604">
        <f t="shared" si="69"/>
        <v>5217471</v>
      </c>
      <c r="N168" s="604">
        <f t="shared" si="69"/>
        <v>5217471</v>
      </c>
      <c r="O168" s="605">
        <f>SUM(C168:N168)</f>
        <v>80670606</v>
      </c>
    </row>
    <row r="169" spans="1:15" s="606" customFormat="1" ht="22.5" customHeight="1">
      <c r="A169" s="602" t="s">
        <v>17</v>
      </c>
      <c r="B169" s="603" t="s">
        <v>174</v>
      </c>
      <c r="C169" s="604">
        <f>1132689</f>
        <v>1132689</v>
      </c>
      <c r="D169" s="604">
        <f t="shared" ref="D169:N169" si="70">1132689</f>
        <v>1132689</v>
      </c>
      <c r="E169" s="604">
        <f>1132689+63592</f>
        <v>1196281</v>
      </c>
      <c r="F169" s="604">
        <f t="shared" si="70"/>
        <v>1132689</v>
      </c>
      <c r="G169" s="604">
        <f t="shared" si="70"/>
        <v>1132689</v>
      </c>
      <c r="H169" s="604">
        <f>1132689+930804+506025+27590-608400-30047</f>
        <v>1958661</v>
      </c>
      <c r="I169" s="604">
        <f>1132689+930811</f>
        <v>2063500</v>
      </c>
      <c r="J169" s="604">
        <f>1132689+930811</f>
        <v>2063500</v>
      </c>
      <c r="K169" s="604">
        <f>1132689+117000-117000+52030+47694-67622-2400+157115+585000</f>
        <v>1904506</v>
      </c>
      <c r="L169" s="604">
        <f t="shared" si="70"/>
        <v>1132689</v>
      </c>
      <c r="M169" s="604">
        <f t="shared" si="70"/>
        <v>1132689</v>
      </c>
      <c r="N169" s="604">
        <f t="shared" si="70"/>
        <v>1132689</v>
      </c>
      <c r="O169" s="605">
        <f>SUM(C169:N169)</f>
        <v>17115271</v>
      </c>
    </row>
    <row r="170" spans="1:15" s="606" customFormat="1" ht="22.5" customHeight="1">
      <c r="A170" s="602" t="s">
        <v>18</v>
      </c>
      <c r="B170" s="603" t="s">
        <v>133</v>
      </c>
      <c r="C170" s="604">
        <f>12710254</f>
        <v>12710254</v>
      </c>
      <c r="D170" s="604">
        <f t="shared" ref="D170:N170" si="71">12710254</f>
        <v>12710254</v>
      </c>
      <c r="E170" s="604">
        <f>12710254+635000+101600</f>
        <v>13446854</v>
      </c>
      <c r="F170" s="604">
        <f t="shared" si="71"/>
        <v>12710254</v>
      </c>
      <c r="G170" s="604">
        <f t="shared" si="71"/>
        <v>12710254</v>
      </c>
      <c r="H170" s="604">
        <f>12710254+20206980+533400+167910+190500+34360+13694572+9032376+6502400+702474+132358+1911775+1441313</f>
        <v>67260672</v>
      </c>
      <c r="I170" s="604">
        <f>12710254+20206983</f>
        <v>32917237</v>
      </c>
      <c r="J170" s="604">
        <f>12710254+20206983</f>
        <v>32917237</v>
      </c>
      <c r="K170" s="604">
        <f>12710254-175536-375067-121089+7200000+6350000</f>
        <v>25588562</v>
      </c>
      <c r="L170" s="604">
        <f t="shared" si="71"/>
        <v>12710254</v>
      </c>
      <c r="M170" s="604">
        <f t="shared" si="71"/>
        <v>12710254</v>
      </c>
      <c r="N170" s="604">
        <f t="shared" si="71"/>
        <v>12710254</v>
      </c>
      <c r="O170" s="605">
        <f>SUM(C170:N170)</f>
        <v>261102340</v>
      </c>
    </row>
    <row r="171" spans="1:15" s="606" customFormat="1" ht="22.5" customHeight="1">
      <c r="A171" s="602" t="s">
        <v>19</v>
      </c>
      <c r="B171" s="603" t="s">
        <v>175</v>
      </c>
      <c r="C171" s="604">
        <f>792500</f>
        <v>792500</v>
      </c>
      <c r="D171" s="604">
        <f t="shared" ref="D171:N171" si="72">792500</f>
        <v>792500</v>
      </c>
      <c r="E171" s="604">
        <f t="shared" si="72"/>
        <v>792500</v>
      </c>
      <c r="F171" s="604">
        <f t="shared" si="72"/>
        <v>792500</v>
      </c>
      <c r="G171" s="604">
        <f t="shared" si="72"/>
        <v>792500</v>
      </c>
      <c r="H171" s="604">
        <f t="shared" si="72"/>
        <v>792500</v>
      </c>
      <c r="I171" s="604">
        <f t="shared" si="72"/>
        <v>792500</v>
      </c>
      <c r="J171" s="604">
        <f>792500+100000</f>
        <v>892500</v>
      </c>
      <c r="K171" s="604">
        <f t="shared" si="72"/>
        <v>792500</v>
      </c>
      <c r="L171" s="604">
        <f t="shared" si="72"/>
        <v>792500</v>
      </c>
      <c r="M171" s="604">
        <f>792500+100000</f>
        <v>892500</v>
      </c>
      <c r="N171" s="604">
        <f t="shared" si="72"/>
        <v>792500</v>
      </c>
      <c r="O171" s="605">
        <f>SUM(C171:N171)</f>
        <v>9710000</v>
      </c>
    </row>
    <row r="172" spans="1:15" s="606" customFormat="1" ht="22.5" customHeight="1">
      <c r="A172" s="602" t="s">
        <v>20</v>
      </c>
      <c r="B172" s="603" t="s">
        <v>652</v>
      </c>
      <c r="C172" s="604"/>
      <c r="D172" s="604"/>
      <c r="E172" s="604">
        <v>272642</v>
      </c>
      <c r="F172" s="604"/>
      <c r="G172" s="604"/>
      <c r="H172" s="604"/>
      <c r="I172" s="604"/>
      <c r="J172" s="604"/>
      <c r="K172" s="604"/>
      <c r="L172" s="604"/>
      <c r="M172" s="604"/>
      <c r="N172" s="604"/>
      <c r="O172" s="605">
        <f>SUM(C172:N172)</f>
        <v>272642</v>
      </c>
    </row>
    <row r="173" spans="1:15" s="606" customFormat="1" ht="22.5" customHeight="1">
      <c r="A173" s="602" t="s">
        <v>21</v>
      </c>
      <c r="B173" s="603" t="s">
        <v>601</v>
      </c>
      <c r="C173" s="604">
        <f>8998687+375000</f>
        <v>9373687</v>
      </c>
      <c r="D173" s="604">
        <f t="shared" ref="D173:M173" si="73">8998687</f>
        <v>8998687</v>
      </c>
      <c r="E173" s="604">
        <f>8998687+3939780+3987864</f>
        <v>16926331</v>
      </c>
      <c r="F173" s="604">
        <f t="shared" si="73"/>
        <v>8998687</v>
      </c>
      <c r="G173" s="604">
        <f t="shared" si="73"/>
        <v>8998687</v>
      </c>
      <c r="H173" s="604">
        <f>8998687+1224473-374484</f>
        <v>9848676</v>
      </c>
      <c r="I173" s="604">
        <f t="shared" si="73"/>
        <v>8998687</v>
      </c>
      <c r="J173" s="604">
        <f>8998687+375000</f>
        <v>9373687</v>
      </c>
      <c r="K173" s="604">
        <f t="shared" si="73"/>
        <v>8998687</v>
      </c>
      <c r="L173" s="604">
        <f t="shared" si="73"/>
        <v>8998687</v>
      </c>
      <c r="M173" s="604">
        <f t="shared" si="73"/>
        <v>8998687</v>
      </c>
      <c r="N173" s="604">
        <f>8998683</f>
        <v>8998683</v>
      </c>
      <c r="O173" s="605">
        <f t="shared" ref="O173:O180" si="74">SUM(C173:N173)</f>
        <v>117511873</v>
      </c>
    </row>
    <row r="174" spans="1:15" s="606" customFormat="1" ht="22.5" customHeight="1">
      <c r="A174" s="602" t="s">
        <v>22</v>
      </c>
      <c r="B174" s="603" t="s">
        <v>602</v>
      </c>
      <c r="C174" s="604"/>
      <c r="D174" s="604"/>
      <c r="E174" s="604">
        <f>17830000+1440000</f>
        <v>19270000</v>
      </c>
      <c r="F174" s="604"/>
      <c r="G174" s="604"/>
      <c r="H174" s="604">
        <f>30000</f>
        <v>30000</v>
      </c>
      <c r="I174" s="604"/>
      <c r="J174" s="604">
        <f>19701700+2500000</f>
        <v>22201700</v>
      </c>
      <c r="K174" s="604"/>
      <c r="L174" s="604"/>
      <c r="M174" s="604"/>
      <c r="N174" s="604"/>
      <c r="O174" s="605">
        <f t="shared" si="74"/>
        <v>41501700</v>
      </c>
    </row>
    <row r="175" spans="1:15" s="606" customFormat="1" ht="22.5" customHeight="1">
      <c r="A175" s="602" t="s">
        <v>23</v>
      </c>
      <c r="B175" s="603" t="s">
        <v>556</v>
      </c>
      <c r="C175" s="604"/>
      <c r="D175" s="604"/>
      <c r="E175" s="604">
        <f>105000+78540+119640+280587+241524+1919391-3987864</f>
        <v>-1243182</v>
      </c>
      <c r="F175" s="604"/>
      <c r="G175" s="604"/>
      <c r="H175" s="604">
        <f>-5717922+82824-350000-152000+187376+293730-1919391-1224473-1000000-3101025-2814800+374484-605530+782302-190500-142575-249000-150000-2774000-5000000-3086614-597073-30000</f>
        <v>-27384187</v>
      </c>
      <c r="I175" s="604"/>
      <c r="J175" s="604"/>
      <c r="K175" s="604">
        <f>37000+75000+290000+962832-962832-717000-717000+585071+281066+33770000-7200000+9574+344520-6350000-1075500-3585000+18253+1433600-50000</f>
        <v>17149584</v>
      </c>
      <c r="L175" s="604"/>
      <c r="M175" s="604"/>
      <c r="N175" s="604">
        <v>73618052</v>
      </c>
      <c r="O175" s="605">
        <f t="shared" si="74"/>
        <v>62140267</v>
      </c>
    </row>
    <row r="176" spans="1:15" s="606" customFormat="1" ht="22.5" customHeight="1">
      <c r="A176" s="602" t="s">
        <v>24</v>
      </c>
      <c r="B176" s="603" t="s">
        <v>219</v>
      </c>
      <c r="C176" s="604">
        <f>29531785</f>
        <v>29531785</v>
      </c>
      <c r="D176" s="604">
        <f t="shared" ref="D176:M176" si="75">29531785</f>
        <v>29531785</v>
      </c>
      <c r="E176" s="604">
        <f>29531785-635000-101600</f>
        <v>28795185</v>
      </c>
      <c r="F176" s="604">
        <f t="shared" si="75"/>
        <v>29531785</v>
      </c>
      <c r="G176" s="604">
        <f>29531785+15494000</f>
        <v>45025785</v>
      </c>
      <c r="H176" s="604">
        <f>29531785+5717922+1000000-76200-13694572-6566274+9196991-1399405+6779509-946684-2746211-1911775-1441313</f>
        <v>23443773</v>
      </c>
      <c r="I176" s="604">
        <f t="shared" si="75"/>
        <v>29531785</v>
      </c>
      <c r="J176" s="604">
        <f t="shared" si="75"/>
        <v>29531785</v>
      </c>
      <c r="K176" s="604">
        <f t="shared" si="75"/>
        <v>29531785</v>
      </c>
      <c r="L176" s="604">
        <f t="shared" si="75"/>
        <v>29531785</v>
      </c>
      <c r="M176" s="604">
        <f t="shared" si="75"/>
        <v>29531785</v>
      </c>
      <c r="N176" s="604">
        <f>29531779</f>
        <v>29531779</v>
      </c>
      <c r="O176" s="605">
        <f t="shared" si="74"/>
        <v>363050802</v>
      </c>
    </row>
    <row r="177" spans="1:15" s="606" customFormat="1" ht="22.5" customHeight="1">
      <c r="A177" s="602" t="s">
        <v>25</v>
      </c>
      <c r="B177" s="603" t="s">
        <v>178</v>
      </c>
      <c r="C177" s="604">
        <f>11383379</f>
        <v>11383379</v>
      </c>
      <c r="D177" s="604">
        <f t="shared" ref="D177:M177" si="76">11383379</f>
        <v>11383379</v>
      </c>
      <c r="E177" s="604">
        <f t="shared" si="76"/>
        <v>11383379</v>
      </c>
      <c r="F177" s="604">
        <f t="shared" si="76"/>
        <v>11383379</v>
      </c>
      <c r="G177" s="604">
        <f>11383379+6350000</f>
        <v>17733379</v>
      </c>
      <c r="H177" s="604">
        <f>11383379+76200-9032376+13737230+597073</f>
        <v>16761506</v>
      </c>
      <c r="I177" s="604">
        <f t="shared" si="76"/>
        <v>11383379</v>
      </c>
      <c r="J177" s="604">
        <f t="shared" si="76"/>
        <v>11383379</v>
      </c>
      <c r="K177" s="604">
        <f t="shared" si="76"/>
        <v>11383379</v>
      </c>
      <c r="L177" s="604">
        <f t="shared" si="76"/>
        <v>11383379</v>
      </c>
      <c r="M177" s="604">
        <f t="shared" si="76"/>
        <v>11383379</v>
      </c>
      <c r="N177" s="604">
        <f>11383376</f>
        <v>11383376</v>
      </c>
      <c r="O177" s="605">
        <f t="shared" si="74"/>
        <v>148328672</v>
      </c>
    </row>
    <row r="178" spans="1:15" s="606" customFormat="1" ht="22.5" customHeight="1">
      <c r="A178" s="602" t="s">
        <v>26</v>
      </c>
      <c r="B178" s="603" t="s">
        <v>222</v>
      </c>
      <c r="C178" s="604"/>
      <c r="D178" s="604"/>
      <c r="E178" s="604"/>
      <c r="F178" s="604"/>
      <c r="G178" s="604"/>
      <c r="H178" s="604"/>
      <c r="I178" s="604"/>
      <c r="J178" s="604"/>
      <c r="K178" s="604">
        <v>50000</v>
      </c>
      <c r="L178" s="604"/>
      <c r="M178" s="604"/>
      <c r="N178" s="604"/>
      <c r="O178" s="605">
        <f t="shared" si="74"/>
        <v>50000</v>
      </c>
    </row>
    <row r="179" spans="1:15" s="606" customFormat="1" ht="22.5" customHeight="1" thickBot="1">
      <c r="A179" s="602" t="s">
        <v>27</v>
      </c>
      <c r="B179" s="603" t="s">
        <v>12</v>
      </c>
      <c r="C179" s="604">
        <f>13492246+7960578</f>
        <v>21452824</v>
      </c>
      <c r="D179" s="604">
        <f t="shared" ref="D179:M179" si="77">13492246</f>
        <v>13492246</v>
      </c>
      <c r="E179" s="604">
        <f>13492246+72564</f>
        <v>13564810</v>
      </c>
      <c r="F179" s="604">
        <f t="shared" si="77"/>
        <v>13492246</v>
      </c>
      <c r="G179" s="604">
        <f t="shared" si="77"/>
        <v>13492246</v>
      </c>
      <c r="H179" s="604">
        <f>13492246+411269+605530-782302</f>
        <v>13726743</v>
      </c>
      <c r="I179" s="604">
        <f t="shared" si="77"/>
        <v>13492246</v>
      </c>
      <c r="J179" s="604">
        <f t="shared" si="77"/>
        <v>13492246</v>
      </c>
      <c r="K179" s="604">
        <f>13492246-290000+1099400+540000+1075500</f>
        <v>15917146</v>
      </c>
      <c r="L179" s="604">
        <f t="shared" si="77"/>
        <v>13492246</v>
      </c>
      <c r="M179" s="604">
        <f t="shared" si="77"/>
        <v>13492246</v>
      </c>
      <c r="N179" s="604">
        <f>13492244</f>
        <v>13492244</v>
      </c>
      <c r="O179" s="605">
        <f t="shared" si="74"/>
        <v>172599489</v>
      </c>
    </row>
    <row r="180" spans="1:15" s="611" customFormat="1" ht="15.95" customHeight="1" thickBot="1">
      <c r="A180" s="607"/>
      <c r="B180" s="608" t="s">
        <v>107</v>
      </c>
      <c r="C180" s="609">
        <f t="shared" ref="C180:N180" si="78">SUM(C168:C179)</f>
        <v>91594589</v>
      </c>
      <c r="D180" s="609">
        <f t="shared" si="78"/>
        <v>83259011</v>
      </c>
      <c r="E180" s="609">
        <f t="shared" si="78"/>
        <v>110274511</v>
      </c>
      <c r="F180" s="609">
        <f t="shared" si="78"/>
        <v>83259011</v>
      </c>
      <c r="G180" s="609">
        <f t="shared" si="78"/>
        <v>105103011</v>
      </c>
      <c r="H180" s="609">
        <f t="shared" si="78"/>
        <v>115581131</v>
      </c>
      <c r="I180" s="609">
        <f t="shared" si="78"/>
        <v>108903073</v>
      </c>
      <c r="J180" s="609">
        <f t="shared" si="78"/>
        <v>131579773</v>
      </c>
      <c r="K180" s="609">
        <f t="shared" si="78"/>
        <v>121004482</v>
      </c>
      <c r="L180" s="609">
        <f t="shared" si="78"/>
        <v>83259011</v>
      </c>
      <c r="M180" s="609">
        <f t="shared" si="78"/>
        <v>83359011</v>
      </c>
      <c r="N180" s="609">
        <f t="shared" si="78"/>
        <v>156877048</v>
      </c>
      <c r="O180" s="610">
        <f t="shared" si="74"/>
        <v>1274053662</v>
      </c>
    </row>
    <row r="181" spans="1:15" s="611" customFormat="1" ht="15.95" customHeight="1" thickBot="1">
      <c r="A181" s="620"/>
      <c r="B181" s="621"/>
      <c r="C181" s="622"/>
      <c r="D181" s="622"/>
      <c r="E181" s="622"/>
      <c r="F181" s="622"/>
      <c r="G181" s="622"/>
      <c r="H181" s="622"/>
      <c r="I181" s="622"/>
      <c r="J181" s="622"/>
      <c r="K181" s="622"/>
      <c r="L181" s="622"/>
      <c r="M181" s="622"/>
      <c r="N181" s="622"/>
      <c r="O181" s="622"/>
    </row>
    <row r="182" spans="1:15" ht="16.5" thickBot="1">
      <c r="A182" s="607"/>
      <c r="B182" s="608" t="s">
        <v>108</v>
      </c>
      <c r="C182" s="609">
        <f t="shared" ref="C182:O182" si="79">C164-C180</f>
        <v>551454219</v>
      </c>
      <c r="D182" s="609">
        <f t="shared" si="79"/>
        <v>-46677487</v>
      </c>
      <c r="E182" s="609">
        <f t="shared" si="79"/>
        <v>-70159909</v>
      </c>
      <c r="F182" s="609">
        <f t="shared" si="79"/>
        <v>-46677487</v>
      </c>
      <c r="G182" s="609">
        <f t="shared" si="79"/>
        <v>-68521487</v>
      </c>
      <c r="H182" s="609">
        <f t="shared" si="79"/>
        <v>-37216590</v>
      </c>
      <c r="I182" s="609">
        <f t="shared" si="79"/>
        <v>17337123</v>
      </c>
      <c r="J182" s="609">
        <f t="shared" si="79"/>
        <v>-58812096</v>
      </c>
      <c r="K182" s="609">
        <f t="shared" si="79"/>
        <v>-26975787</v>
      </c>
      <c r="L182" s="609">
        <f t="shared" si="79"/>
        <v>-46677487</v>
      </c>
      <c r="M182" s="609">
        <f t="shared" si="79"/>
        <v>-46777487</v>
      </c>
      <c r="N182" s="609">
        <f t="shared" si="79"/>
        <v>-120295525</v>
      </c>
      <c r="O182" s="610">
        <f t="shared" si="79"/>
        <v>0</v>
      </c>
    </row>
    <row r="185" spans="1:15" ht="20.25" customHeight="1">
      <c r="A185" s="796" t="s">
        <v>707</v>
      </c>
      <c r="B185" s="797"/>
      <c r="C185" s="797"/>
      <c r="D185" s="797"/>
      <c r="E185" s="797"/>
      <c r="F185" s="797"/>
      <c r="G185" s="797"/>
      <c r="H185" s="797"/>
      <c r="I185" s="797"/>
      <c r="J185" s="797"/>
      <c r="K185" s="797"/>
      <c r="L185" s="797"/>
      <c r="M185" s="797"/>
      <c r="N185" s="797"/>
      <c r="O185" s="797"/>
    </row>
    <row r="186" spans="1:15" ht="21" customHeight="1">
      <c r="A186" s="796" t="s">
        <v>774</v>
      </c>
      <c r="B186" s="796"/>
      <c r="C186" s="796"/>
      <c r="D186" s="796"/>
      <c r="E186" s="796"/>
      <c r="F186" s="796"/>
      <c r="G186" s="796"/>
      <c r="H186" s="796"/>
      <c r="I186" s="796"/>
      <c r="J186" s="796"/>
      <c r="K186" s="796"/>
      <c r="L186" s="796"/>
      <c r="M186" s="796"/>
      <c r="N186" s="796"/>
      <c r="O186" s="796"/>
    </row>
    <row r="187" spans="1:15" ht="21" customHeight="1">
      <c r="A187" s="595"/>
      <c r="B187" s="595"/>
      <c r="C187" s="595"/>
      <c r="D187" s="595"/>
      <c r="E187" s="595"/>
      <c r="F187" s="595"/>
      <c r="G187" s="595"/>
      <c r="H187" s="595"/>
      <c r="I187" s="595"/>
      <c r="J187" s="595"/>
      <c r="K187" s="595"/>
      <c r="L187" s="595"/>
      <c r="M187" s="595"/>
      <c r="N187" s="595"/>
      <c r="O187" s="595"/>
    </row>
    <row r="188" spans="1:15" ht="16.5" thickBot="1">
      <c r="O188" s="596" t="s">
        <v>588</v>
      </c>
    </row>
    <row r="189" spans="1:15" s="592" customFormat="1" ht="31.5" customHeight="1" thickBot="1">
      <c r="A189" s="597" t="s">
        <v>14</v>
      </c>
      <c r="B189" s="598" t="s">
        <v>58</v>
      </c>
      <c r="C189" s="598" t="s">
        <v>70</v>
      </c>
      <c r="D189" s="598" t="s">
        <v>71</v>
      </c>
      <c r="E189" s="598" t="s">
        <v>72</v>
      </c>
      <c r="F189" s="598" t="s">
        <v>73</v>
      </c>
      <c r="G189" s="598" t="s">
        <v>74</v>
      </c>
      <c r="H189" s="598" t="s">
        <v>75</v>
      </c>
      <c r="I189" s="598" t="s">
        <v>76</v>
      </c>
      <c r="J189" s="598" t="s">
        <v>77</v>
      </c>
      <c r="K189" s="598" t="s">
        <v>78</v>
      </c>
      <c r="L189" s="598" t="s">
        <v>79</v>
      </c>
      <c r="M189" s="598" t="s">
        <v>80</v>
      </c>
      <c r="N189" s="598" t="s">
        <v>81</v>
      </c>
      <c r="O189" s="599" t="s">
        <v>48</v>
      </c>
    </row>
    <row r="190" spans="1:15" s="601" customFormat="1" ht="15" customHeight="1" thickBot="1">
      <c r="A190" s="600"/>
      <c r="B190" s="799" t="s">
        <v>53</v>
      </c>
      <c r="C190" s="800"/>
      <c r="D190" s="800"/>
      <c r="E190" s="800"/>
      <c r="F190" s="800"/>
      <c r="G190" s="800"/>
      <c r="H190" s="800"/>
      <c r="I190" s="800"/>
      <c r="J190" s="800"/>
      <c r="K190" s="800"/>
      <c r="L190" s="800"/>
      <c r="M190" s="800"/>
      <c r="N190" s="800"/>
      <c r="O190" s="801"/>
    </row>
    <row r="191" spans="1:15" s="606" customFormat="1" ht="22.5" customHeight="1">
      <c r="A191" s="602" t="s">
        <v>16</v>
      </c>
      <c r="B191" s="603" t="s">
        <v>371</v>
      </c>
      <c r="C191" s="604">
        <v>18199640</v>
      </c>
      <c r="D191" s="604">
        <v>18199640</v>
      </c>
      <c r="E191" s="604">
        <f>18199640+280587+241524</f>
        <v>18721751</v>
      </c>
      <c r="F191" s="604">
        <v>18199640</v>
      </c>
      <c r="G191" s="604">
        <v>18199640</v>
      </c>
      <c r="H191" s="604">
        <f>18199640+411269+533400-152000+187376+293730-2814800</f>
        <v>16658615</v>
      </c>
      <c r="I191" s="604">
        <v>18199640</v>
      </c>
      <c r="J191" s="604">
        <f>18199640+19701700+2500000</f>
        <v>40401340</v>
      </c>
      <c r="K191" s="604">
        <f>18199640+585071+281066+540000</f>
        <v>19605777</v>
      </c>
      <c r="L191" s="604">
        <v>18199640</v>
      </c>
      <c r="M191" s="604">
        <f>18199640+506728+226143+291818+2951480</f>
        <v>22175809</v>
      </c>
      <c r="N191" s="604">
        <f>18199639+3207200+191640+92490+145909+1056000</f>
        <v>22892878</v>
      </c>
      <c r="O191" s="605">
        <f t="shared" ref="O191:O200" si="80">SUM(C191:N191)</f>
        <v>249654010</v>
      </c>
    </row>
    <row r="192" spans="1:15" s="606" customFormat="1" ht="22.5" customHeight="1">
      <c r="A192" s="602" t="s">
        <v>17</v>
      </c>
      <c r="B192" s="603" t="s">
        <v>601</v>
      </c>
      <c r="C192" s="604">
        <f>4343448</f>
        <v>4343448</v>
      </c>
      <c r="D192" s="604">
        <f t="shared" ref="D192:N192" si="81">4343448</f>
        <v>4343448</v>
      </c>
      <c r="E192" s="604">
        <f>4343448+105000+715832+78540+119640+1919391</f>
        <v>7281851</v>
      </c>
      <c r="F192" s="604">
        <f t="shared" si="81"/>
        <v>4343448</v>
      </c>
      <c r="G192" s="604">
        <f t="shared" si="81"/>
        <v>4343448</v>
      </c>
      <c r="H192" s="604">
        <f>4343448+1418795-1919391+2706807+112502</f>
        <v>6662161</v>
      </c>
      <c r="I192" s="604">
        <f t="shared" si="81"/>
        <v>4343448</v>
      </c>
      <c r="J192" s="604">
        <f>4343448-19701700</f>
        <v>-15358252</v>
      </c>
      <c r="K192" s="604">
        <f>4343448+19701700+37000+75000+962832+585681+536874-22400+366520+18253</f>
        <v>26604908</v>
      </c>
      <c r="L192" s="604">
        <f t="shared" si="81"/>
        <v>4343448</v>
      </c>
      <c r="M192" s="604">
        <f>4343448+306000+37000+706136</f>
        <v>5392584</v>
      </c>
      <c r="N192" s="604">
        <f t="shared" si="81"/>
        <v>4343448</v>
      </c>
      <c r="O192" s="605">
        <f t="shared" si="80"/>
        <v>60987388</v>
      </c>
    </row>
    <row r="193" spans="1:15" s="606" customFormat="1" ht="22.5" customHeight="1">
      <c r="A193" s="602" t="s">
        <v>18</v>
      </c>
      <c r="B193" s="603" t="s">
        <v>600</v>
      </c>
      <c r="C193" s="604"/>
      <c r="D193" s="604"/>
      <c r="E193" s="604"/>
      <c r="F193" s="604"/>
      <c r="G193" s="604"/>
      <c r="H193" s="604">
        <f>7817442</f>
        <v>7817442</v>
      </c>
      <c r="I193" s="604">
        <v>55972518</v>
      </c>
      <c r="J193" s="604"/>
      <c r="K193" s="604"/>
      <c r="L193" s="604"/>
      <c r="M193" s="604"/>
      <c r="N193" s="604"/>
      <c r="O193" s="605">
        <f t="shared" si="80"/>
        <v>63789960</v>
      </c>
    </row>
    <row r="194" spans="1:15" s="606" customFormat="1" ht="22.5" customHeight="1">
      <c r="A194" s="602" t="s">
        <v>19</v>
      </c>
      <c r="B194" s="603" t="s">
        <v>165</v>
      </c>
      <c r="C194" s="604">
        <f>10827500</f>
        <v>10827500</v>
      </c>
      <c r="D194" s="604">
        <f t="shared" ref="D194:M194" si="82">10827500</f>
        <v>10827500</v>
      </c>
      <c r="E194" s="604">
        <f t="shared" si="82"/>
        <v>10827500</v>
      </c>
      <c r="F194" s="604">
        <f t="shared" si="82"/>
        <v>10827500</v>
      </c>
      <c r="G194" s="604">
        <f t="shared" si="82"/>
        <v>10827500</v>
      </c>
      <c r="H194" s="604">
        <f t="shared" si="82"/>
        <v>10827500</v>
      </c>
      <c r="I194" s="604">
        <f t="shared" si="82"/>
        <v>10827500</v>
      </c>
      <c r="J194" s="604">
        <f t="shared" si="82"/>
        <v>10827500</v>
      </c>
      <c r="K194" s="604">
        <f t="shared" si="82"/>
        <v>10827500</v>
      </c>
      <c r="L194" s="604">
        <f t="shared" si="82"/>
        <v>10827500</v>
      </c>
      <c r="M194" s="604">
        <f t="shared" si="82"/>
        <v>10827500</v>
      </c>
      <c r="N194" s="604">
        <f>10827500+18000000</f>
        <v>28827500</v>
      </c>
      <c r="O194" s="605">
        <f t="shared" si="80"/>
        <v>147930000</v>
      </c>
    </row>
    <row r="195" spans="1:15" s="606" customFormat="1" ht="22.5" customHeight="1">
      <c r="A195" s="602" t="s">
        <v>20</v>
      </c>
      <c r="B195" s="603" t="s">
        <v>417</v>
      </c>
      <c r="C195" s="604">
        <f>3200936+412855</f>
        <v>3613791</v>
      </c>
      <c r="D195" s="604">
        <f t="shared" ref="D195:L195" si="83">3200936</f>
        <v>3200936</v>
      </c>
      <c r="E195" s="604">
        <f t="shared" si="83"/>
        <v>3200936</v>
      </c>
      <c r="F195" s="604">
        <f t="shared" si="83"/>
        <v>3200936</v>
      </c>
      <c r="G195" s="604">
        <f t="shared" si="83"/>
        <v>3200936</v>
      </c>
      <c r="H195" s="604">
        <f>3200936+33686153+82824+167910-249000-150000</f>
        <v>36738823</v>
      </c>
      <c r="I195" s="604">
        <f>3200936+33686154</f>
        <v>36887090</v>
      </c>
      <c r="J195" s="604">
        <f>3200936+33686153</f>
        <v>36887089</v>
      </c>
      <c r="K195" s="604">
        <f>3200936+33770000</f>
        <v>36970936</v>
      </c>
      <c r="L195" s="604">
        <f t="shared" si="83"/>
        <v>3200936</v>
      </c>
      <c r="M195" s="604">
        <f>3200936</f>
        <v>3200936</v>
      </c>
      <c r="N195" s="604">
        <f>3200936+1370000</f>
        <v>4570936</v>
      </c>
      <c r="O195" s="605">
        <f t="shared" si="80"/>
        <v>174874281</v>
      </c>
    </row>
    <row r="196" spans="1:15" s="606" customFormat="1" ht="22.5" customHeight="1">
      <c r="A196" s="602" t="s">
        <v>21</v>
      </c>
      <c r="B196" s="603" t="s">
        <v>10</v>
      </c>
      <c r="C196" s="604">
        <v>10000</v>
      </c>
      <c r="D196" s="604">
        <v>10000</v>
      </c>
      <c r="E196" s="604">
        <v>10000</v>
      </c>
      <c r="F196" s="604">
        <v>10000</v>
      </c>
      <c r="G196" s="604">
        <v>10000</v>
      </c>
      <c r="H196" s="604">
        <v>10000</v>
      </c>
      <c r="I196" s="604">
        <v>10000</v>
      </c>
      <c r="J196" s="604">
        <v>10000</v>
      </c>
      <c r="K196" s="604">
        <v>10000</v>
      </c>
      <c r="L196" s="604">
        <v>10000</v>
      </c>
      <c r="M196" s="604">
        <v>10000</v>
      </c>
      <c r="N196" s="604">
        <v>10000</v>
      </c>
      <c r="O196" s="605">
        <f t="shared" si="80"/>
        <v>120000</v>
      </c>
    </row>
    <row r="197" spans="1:15" s="606" customFormat="1" ht="22.5" customHeight="1">
      <c r="A197" s="602" t="s">
        <v>22</v>
      </c>
      <c r="B197" s="603" t="s">
        <v>373</v>
      </c>
      <c r="C197" s="604"/>
      <c r="D197" s="604"/>
      <c r="E197" s="604"/>
      <c r="F197" s="604"/>
      <c r="G197" s="604"/>
      <c r="H197" s="604"/>
      <c r="I197" s="604"/>
      <c r="J197" s="604"/>
      <c r="K197" s="604"/>
      <c r="L197" s="604"/>
      <c r="M197" s="604"/>
      <c r="N197" s="604"/>
      <c r="O197" s="605">
        <f t="shared" si="80"/>
        <v>0</v>
      </c>
    </row>
    <row r="198" spans="1:15" s="606" customFormat="1" ht="22.5" customHeight="1">
      <c r="A198" s="602" t="s">
        <v>23</v>
      </c>
      <c r="B198" s="603" t="s">
        <v>405</v>
      </c>
      <c r="C198" s="604"/>
      <c r="D198" s="604"/>
      <c r="E198" s="604"/>
      <c r="F198" s="604"/>
      <c r="G198" s="604"/>
      <c r="H198" s="604"/>
      <c r="I198" s="604"/>
      <c r="J198" s="604"/>
      <c r="K198" s="604"/>
      <c r="L198" s="604"/>
      <c r="M198" s="604"/>
      <c r="N198" s="604"/>
      <c r="O198" s="605">
        <f t="shared" si="80"/>
        <v>0</v>
      </c>
    </row>
    <row r="199" spans="1:15" s="606" customFormat="1" ht="22.5" customHeight="1" thickBot="1">
      <c r="A199" s="602" t="s">
        <v>24</v>
      </c>
      <c r="B199" s="603" t="s">
        <v>11</v>
      </c>
      <c r="C199" s="604">
        <v>606054429</v>
      </c>
      <c r="D199" s="604"/>
      <c r="E199" s="604">
        <v>72564</v>
      </c>
      <c r="F199" s="604"/>
      <c r="G199" s="604"/>
      <c r="H199" s="604">
        <f>-350000</f>
        <v>-350000</v>
      </c>
      <c r="I199" s="604"/>
      <c r="J199" s="604"/>
      <c r="K199" s="604">
        <v>9574</v>
      </c>
      <c r="L199" s="604"/>
      <c r="M199" s="604"/>
      <c r="N199" s="604"/>
      <c r="O199" s="605">
        <f t="shared" si="80"/>
        <v>605786567</v>
      </c>
    </row>
    <row r="200" spans="1:15" s="611" customFormat="1" ht="15.95" customHeight="1" thickBot="1">
      <c r="A200" s="607"/>
      <c r="B200" s="608" t="s">
        <v>106</v>
      </c>
      <c r="C200" s="609">
        <f t="shared" ref="C200:N200" si="84">SUM(C191:C199)</f>
        <v>643048808</v>
      </c>
      <c r="D200" s="609">
        <f t="shared" si="84"/>
        <v>36581524</v>
      </c>
      <c r="E200" s="609">
        <f t="shared" si="84"/>
        <v>40114602</v>
      </c>
      <c r="F200" s="609">
        <f t="shared" si="84"/>
        <v>36581524</v>
      </c>
      <c r="G200" s="609">
        <f t="shared" si="84"/>
        <v>36581524</v>
      </c>
      <c r="H200" s="609">
        <f t="shared" si="84"/>
        <v>78364541</v>
      </c>
      <c r="I200" s="609">
        <f t="shared" si="84"/>
        <v>126240196</v>
      </c>
      <c r="J200" s="609">
        <f t="shared" si="84"/>
        <v>72767677</v>
      </c>
      <c r="K200" s="609">
        <f t="shared" si="84"/>
        <v>94028695</v>
      </c>
      <c r="L200" s="609">
        <f t="shared" si="84"/>
        <v>36581524</v>
      </c>
      <c r="M200" s="609">
        <f t="shared" si="84"/>
        <v>41606829</v>
      </c>
      <c r="N200" s="609">
        <f t="shared" si="84"/>
        <v>60644762</v>
      </c>
      <c r="O200" s="610">
        <f t="shared" si="80"/>
        <v>1303142206</v>
      </c>
    </row>
    <row r="201" spans="1:15" s="611" customFormat="1" ht="15.95" customHeight="1">
      <c r="A201" s="612"/>
      <c r="B201" s="613"/>
      <c r="C201" s="614"/>
      <c r="D201" s="614"/>
      <c r="E201" s="614"/>
      <c r="F201" s="614"/>
      <c r="G201" s="614"/>
      <c r="H201" s="614"/>
      <c r="I201" s="614"/>
      <c r="J201" s="614"/>
      <c r="K201" s="614"/>
      <c r="L201" s="614"/>
      <c r="M201" s="614"/>
      <c r="N201" s="614"/>
      <c r="O201" s="614"/>
    </row>
    <row r="202" spans="1:15" s="618" customFormat="1" ht="15.95" customHeight="1">
      <c r="A202" s="615"/>
      <c r="B202" s="616"/>
      <c r="C202" s="617"/>
      <c r="D202" s="617"/>
      <c r="E202" s="617"/>
      <c r="F202" s="617"/>
      <c r="G202" s="617"/>
      <c r="H202" s="617"/>
      <c r="I202" s="617"/>
      <c r="J202" s="617"/>
      <c r="K202" s="617"/>
      <c r="L202" s="617"/>
      <c r="M202" s="617"/>
      <c r="N202" s="617"/>
      <c r="O202" s="617"/>
    </row>
    <row r="203" spans="1:15" s="601" customFormat="1" ht="15" customHeight="1" thickBot="1">
      <c r="A203" s="619"/>
      <c r="B203" s="802" t="s">
        <v>54</v>
      </c>
      <c r="C203" s="803"/>
      <c r="D203" s="803"/>
      <c r="E203" s="803"/>
      <c r="F203" s="803"/>
      <c r="G203" s="803"/>
      <c r="H203" s="803"/>
      <c r="I203" s="803"/>
      <c r="J203" s="803"/>
      <c r="K203" s="803"/>
      <c r="L203" s="803"/>
      <c r="M203" s="803"/>
      <c r="N203" s="803"/>
      <c r="O203" s="804"/>
    </row>
    <row r="204" spans="1:15" s="606" customFormat="1" ht="22.5" customHeight="1">
      <c r="A204" s="602" t="s">
        <v>16</v>
      </c>
      <c r="B204" s="603" t="s">
        <v>59</v>
      </c>
      <c r="C204" s="604">
        <f>5217471</f>
        <v>5217471</v>
      </c>
      <c r="D204" s="604">
        <f t="shared" ref="D204:L204" si="85">5217471</f>
        <v>5217471</v>
      </c>
      <c r="E204" s="604">
        <f>5217471+652240</f>
        <v>5869711</v>
      </c>
      <c r="F204" s="604">
        <f t="shared" si="85"/>
        <v>5217471</v>
      </c>
      <c r="G204" s="604">
        <f t="shared" si="85"/>
        <v>5217471</v>
      </c>
      <c r="H204" s="604">
        <f>5217471+4506267+2595000+80625-3120000-136576</f>
        <v>9142787</v>
      </c>
      <c r="I204" s="604">
        <f>5217471+4506268</f>
        <v>9723739</v>
      </c>
      <c r="J204" s="604">
        <f>5217471+4506268</f>
        <v>9723739</v>
      </c>
      <c r="K204" s="604">
        <f>5217471+600000-600000+533651+489180-346778-10908+805717+3000000</f>
        <v>9688333</v>
      </c>
      <c r="L204" s="604">
        <f t="shared" si="85"/>
        <v>5217471</v>
      </c>
      <c r="M204" s="604">
        <f>5217471+600000</f>
        <v>5817471</v>
      </c>
      <c r="N204" s="604">
        <f>5217471+548400</f>
        <v>5765871</v>
      </c>
      <c r="O204" s="605">
        <f>SUM(C204:N204)</f>
        <v>81819006</v>
      </c>
    </row>
    <row r="205" spans="1:15" s="606" customFormat="1" ht="22.5" customHeight="1">
      <c r="A205" s="602" t="s">
        <v>17</v>
      </c>
      <c r="B205" s="603" t="s">
        <v>174</v>
      </c>
      <c r="C205" s="604">
        <f>1132689</f>
        <v>1132689</v>
      </c>
      <c r="D205" s="604">
        <f t="shared" ref="D205:L205" si="86">1132689</f>
        <v>1132689</v>
      </c>
      <c r="E205" s="604">
        <f>1132689+63592</f>
        <v>1196281</v>
      </c>
      <c r="F205" s="604">
        <f t="shared" si="86"/>
        <v>1132689</v>
      </c>
      <c r="G205" s="604">
        <f t="shared" si="86"/>
        <v>1132689</v>
      </c>
      <c r="H205" s="604">
        <f>1132689+930804+506025+27590-608400-30047</f>
        <v>1958661</v>
      </c>
      <c r="I205" s="604">
        <f>1132689+930811</f>
        <v>2063500</v>
      </c>
      <c r="J205" s="604">
        <f>1132689+930811</f>
        <v>2063500</v>
      </c>
      <c r="K205" s="604">
        <f>1132689+117000-117000+52030+47694-67622-2400+157115+585000</f>
        <v>1904506</v>
      </c>
      <c r="L205" s="604">
        <f t="shared" si="86"/>
        <v>1132689</v>
      </c>
      <c r="M205" s="604">
        <f>1132689+106136</f>
        <v>1238825</v>
      </c>
      <c r="N205" s="604">
        <f>1132689+106938</f>
        <v>1239627</v>
      </c>
      <c r="O205" s="605">
        <f>SUM(C205:N205)</f>
        <v>17328345</v>
      </c>
    </row>
    <row r="206" spans="1:15" s="606" customFormat="1" ht="22.5" customHeight="1">
      <c r="A206" s="602" t="s">
        <v>18</v>
      </c>
      <c r="B206" s="603" t="s">
        <v>133</v>
      </c>
      <c r="C206" s="604">
        <f>12710254</f>
        <v>12710254</v>
      </c>
      <c r="D206" s="604">
        <f>12710254</f>
        <v>12710254</v>
      </c>
      <c r="E206" s="604">
        <f>12710254+635000+101600</f>
        <v>13446854</v>
      </c>
      <c r="F206" s="604">
        <f>12710254</f>
        <v>12710254</v>
      </c>
      <c r="G206" s="604">
        <f>12710254</f>
        <v>12710254</v>
      </c>
      <c r="H206" s="604">
        <f>12710254+20206980+533400+167910+190500+34360+13694572+9032376+6502400+702474+132358+1911775+1441313</f>
        <v>67260672</v>
      </c>
      <c r="I206" s="604">
        <f>12710254+20206983</f>
        <v>32917237</v>
      </c>
      <c r="J206" s="604">
        <f>12710254+20206983</f>
        <v>32917237</v>
      </c>
      <c r="K206" s="604">
        <f>12710254-175536-375067-121089+7200000+6350000</f>
        <v>25588562</v>
      </c>
      <c r="L206" s="604">
        <f>12710254</f>
        <v>12710254</v>
      </c>
      <c r="M206" s="604">
        <f>13016254+21143000+140000+2951480</f>
        <v>37250734</v>
      </c>
      <c r="N206" s="604">
        <f>12710254-400000+1056000</f>
        <v>13366254</v>
      </c>
      <c r="O206" s="605">
        <f>SUM(C206:N206)</f>
        <v>286298820</v>
      </c>
    </row>
    <row r="207" spans="1:15" s="606" customFormat="1" ht="22.5" customHeight="1">
      <c r="A207" s="602" t="s">
        <v>19</v>
      </c>
      <c r="B207" s="603" t="s">
        <v>175</v>
      </c>
      <c r="C207" s="604">
        <f>792500</f>
        <v>792500</v>
      </c>
      <c r="D207" s="604">
        <f t="shared" ref="D207:N207" si="87">792500</f>
        <v>792500</v>
      </c>
      <c r="E207" s="604">
        <f t="shared" si="87"/>
        <v>792500</v>
      </c>
      <c r="F207" s="604">
        <f t="shared" si="87"/>
        <v>792500</v>
      </c>
      <c r="G207" s="604">
        <f t="shared" si="87"/>
        <v>792500</v>
      </c>
      <c r="H207" s="604">
        <f t="shared" si="87"/>
        <v>792500</v>
      </c>
      <c r="I207" s="604">
        <f t="shared" si="87"/>
        <v>792500</v>
      </c>
      <c r="J207" s="604">
        <f>792500+100000</f>
        <v>892500</v>
      </c>
      <c r="K207" s="604">
        <f t="shared" si="87"/>
        <v>792500</v>
      </c>
      <c r="L207" s="604">
        <f t="shared" si="87"/>
        <v>792500</v>
      </c>
      <c r="M207" s="604">
        <f>792500+100000</f>
        <v>892500</v>
      </c>
      <c r="N207" s="604">
        <f t="shared" si="87"/>
        <v>792500</v>
      </c>
      <c r="O207" s="605">
        <f>SUM(C207:N207)</f>
        <v>9710000</v>
      </c>
    </row>
    <row r="208" spans="1:15" s="606" customFormat="1" ht="22.5" customHeight="1">
      <c r="A208" s="602" t="s">
        <v>20</v>
      </c>
      <c r="B208" s="603" t="s">
        <v>652</v>
      </c>
      <c r="C208" s="604"/>
      <c r="D208" s="604"/>
      <c r="E208" s="604">
        <v>272642</v>
      </c>
      <c r="F208" s="604"/>
      <c r="G208" s="604"/>
      <c r="H208" s="604"/>
      <c r="I208" s="604"/>
      <c r="J208" s="604"/>
      <c r="K208" s="604"/>
      <c r="L208" s="604"/>
      <c r="M208" s="604"/>
      <c r="N208" s="604">
        <v>400000</v>
      </c>
      <c r="O208" s="605">
        <f>SUM(C208:N208)</f>
        <v>672642</v>
      </c>
    </row>
    <row r="209" spans="1:15" s="606" customFormat="1" ht="22.5" customHeight="1">
      <c r="A209" s="602" t="s">
        <v>21</v>
      </c>
      <c r="B209" s="603" t="s">
        <v>601</v>
      </c>
      <c r="C209" s="604">
        <f>8998687+375000</f>
        <v>9373687</v>
      </c>
      <c r="D209" s="604">
        <f t="shared" ref="D209:L209" si="88">8998687</f>
        <v>8998687</v>
      </c>
      <c r="E209" s="604">
        <f>8998687+3939780+3987864</f>
        <v>16926331</v>
      </c>
      <c r="F209" s="604">
        <f t="shared" si="88"/>
        <v>8998687</v>
      </c>
      <c r="G209" s="604">
        <f t="shared" si="88"/>
        <v>8998687</v>
      </c>
      <c r="H209" s="604">
        <f>8998687+1224473-374484</f>
        <v>9848676</v>
      </c>
      <c r="I209" s="604">
        <f t="shared" si="88"/>
        <v>8998687</v>
      </c>
      <c r="J209" s="604">
        <f>8998687+375000</f>
        <v>9373687</v>
      </c>
      <c r="K209" s="604">
        <f t="shared" si="88"/>
        <v>8998687</v>
      </c>
      <c r="L209" s="604">
        <f t="shared" si="88"/>
        <v>8998687</v>
      </c>
      <c r="M209" s="604">
        <f>8998687+100000</f>
        <v>9098687</v>
      </c>
      <c r="N209" s="604">
        <f>8998683+3207200</f>
        <v>12205883</v>
      </c>
      <c r="O209" s="605">
        <f t="shared" ref="O209:O216" si="89">SUM(C209:N209)</f>
        <v>120819073</v>
      </c>
    </row>
    <row r="210" spans="1:15" s="606" customFormat="1" ht="22.5" customHeight="1">
      <c r="A210" s="602" t="s">
        <v>22</v>
      </c>
      <c r="B210" s="603" t="s">
        <v>602</v>
      </c>
      <c r="C210" s="604"/>
      <c r="D210" s="604"/>
      <c r="E210" s="604">
        <f>17830000+1440000</f>
        <v>19270000</v>
      </c>
      <c r="F210" s="604"/>
      <c r="G210" s="604"/>
      <c r="H210" s="604">
        <f>30000</f>
        <v>30000</v>
      </c>
      <c r="I210" s="604"/>
      <c r="J210" s="604">
        <f>19701700+2500000</f>
        <v>22201700</v>
      </c>
      <c r="K210" s="604"/>
      <c r="L210" s="604"/>
      <c r="M210" s="604"/>
      <c r="N210" s="604">
        <f>50000</f>
        <v>50000</v>
      </c>
      <c r="O210" s="605">
        <f t="shared" si="89"/>
        <v>41551700</v>
      </c>
    </row>
    <row r="211" spans="1:15" s="606" customFormat="1" ht="22.5" customHeight="1">
      <c r="A211" s="602" t="s">
        <v>23</v>
      </c>
      <c r="B211" s="603" t="s">
        <v>556</v>
      </c>
      <c r="C211" s="604"/>
      <c r="D211" s="604"/>
      <c r="E211" s="604">
        <f>105000+78540+119640+280587+241524+1919391-3987864</f>
        <v>-1243182</v>
      </c>
      <c r="F211" s="604"/>
      <c r="G211" s="604"/>
      <c r="H211" s="604">
        <f>-5717922+82824-350000-152000+187376+293730-1919391-1224473-1000000-3101025-2814800+374484-605530+782302-190500-142575-249000-150000-2774000-5000000-3086614-597073-30000</f>
        <v>-27384187</v>
      </c>
      <c r="I211" s="604"/>
      <c r="J211" s="604"/>
      <c r="K211" s="604">
        <f>37000+75000+290000+962832-962832-717000-717000+585071+281066+33770000-7200000+9574+344520-6350000-1075500-3585000+18253+1433600-50000</f>
        <v>17149584</v>
      </c>
      <c r="L211" s="604"/>
      <c r="M211" s="604">
        <f>37000-26672-100000-27700000+226143+291818</f>
        <v>-27271711</v>
      </c>
      <c r="N211" s="604">
        <f>73618052+15000+130000+191640+1370000+18000000+92490+145909-50000-655338</f>
        <v>92857753</v>
      </c>
      <c r="O211" s="605">
        <f t="shared" si="89"/>
        <v>54108257</v>
      </c>
    </row>
    <row r="212" spans="1:15" s="606" customFormat="1" ht="22.5" customHeight="1">
      <c r="A212" s="602" t="s">
        <v>24</v>
      </c>
      <c r="B212" s="603" t="s">
        <v>219</v>
      </c>
      <c r="C212" s="604">
        <f>29531785</f>
        <v>29531785</v>
      </c>
      <c r="D212" s="604">
        <f t="shared" ref="D212:L212" si="90">29531785</f>
        <v>29531785</v>
      </c>
      <c r="E212" s="604">
        <f>29531785-635000-101600</f>
        <v>28795185</v>
      </c>
      <c r="F212" s="604">
        <f t="shared" si="90"/>
        <v>29531785</v>
      </c>
      <c r="G212" s="604">
        <f>29531785+15494000</f>
        <v>45025785</v>
      </c>
      <c r="H212" s="604">
        <f>29531785+5717922+1000000-76200-13694572-6566274+9196991-1399405+6779509-946684-2746211-1911775-1441313</f>
        <v>23443773</v>
      </c>
      <c r="I212" s="604">
        <f t="shared" si="90"/>
        <v>29531785</v>
      </c>
      <c r="J212" s="604">
        <f t="shared" si="90"/>
        <v>29531785</v>
      </c>
      <c r="K212" s="604">
        <f t="shared" si="90"/>
        <v>29531785</v>
      </c>
      <c r="L212" s="604">
        <f t="shared" si="90"/>
        <v>29531785</v>
      </c>
      <c r="M212" s="604">
        <f>29531785+533400</f>
        <v>30065185</v>
      </c>
      <c r="N212" s="604">
        <f>29531779</f>
        <v>29531779</v>
      </c>
      <c r="O212" s="605">
        <f t="shared" si="89"/>
        <v>363584202</v>
      </c>
    </row>
    <row r="213" spans="1:15" s="606" customFormat="1" ht="22.5" customHeight="1">
      <c r="A213" s="602" t="s">
        <v>25</v>
      </c>
      <c r="B213" s="603" t="s">
        <v>178</v>
      </c>
      <c r="C213" s="604">
        <f>11383379</f>
        <v>11383379</v>
      </c>
      <c r="D213" s="604">
        <f t="shared" ref="D213:L213" si="91">11383379</f>
        <v>11383379</v>
      </c>
      <c r="E213" s="604">
        <f t="shared" si="91"/>
        <v>11383379</v>
      </c>
      <c r="F213" s="604">
        <f t="shared" si="91"/>
        <v>11383379</v>
      </c>
      <c r="G213" s="604">
        <f>11383379+6350000</f>
        <v>17733379</v>
      </c>
      <c r="H213" s="604">
        <f>11383379+76200-9032376+13737230+597073</f>
        <v>16761506</v>
      </c>
      <c r="I213" s="604">
        <f t="shared" si="91"/>
        <v>11383379</v>
      </c>
      <c r="J213" s="604">
        <f t="shared" si="91"/>
        <v>11383379</v>
      </c>
      <c r="K213" s="604">
        <f t="shared" si="91"/>
        <v>11383379</v>
      </c>
      <c r="L213" s="604">
        <f t="shared" si="91"/>
        <v>11383379</v>
      </c>
      <c r="M213" s="604">
        <f>11383379+27700000-21143000-140000</f>
        <v>17800379</v>
      </c>
      <c r="N213" s="604">
        <f>11383376</f>
        <v>11383376</v>
      </c>
      <c r="O213" s="605">
        <f t="shared" si="89"/>
        <v>154745672</v>
      </c>
    </row>
    <row r="214" spans="1:15" s="606" customFormat="1" ht="22.5" customHeight="1">
      <c r="A214" s="602" t="s">
        <v>26</v>
      </c>
      <c r="B214" s="603" t="s">
        <v>222</v>
      </c>
      <c r="C214" s="604"/>
      <c r="D214" s="604"/>
      <c r="E214" s="604"/>
      <c r="F214" s="604"/>
      <c r="G214" s="604"/>
      <c r="H214" s="604"/>
      <c r="I214" s="604"/>
      <c r="J214" s="604"/>
      <c r="K214" s="604">
        <v>50000</v>
      </c>
      <c r="L214" s="604"/>
      <c r="M214" s="604"/>
      <c r="N214" s="604"/>
      <c r="O214" s="605">
        <f t="shared" si="89"/>
        <v>50000</v>
      </c>
    </row>
    <row r="215" spans="1:15" s="606" customFormat="1" ht="22.5" customHeight="1" thickBot="1">
      <c r="A215" s="602" t="s">
        <v>27</v>
      </c>
      <c r="B215" s="603" t="s">
        <v>12</v>
      </c>
      <c r="C215" s="604">
        <f>13492246+7960578</f>
        <v>21452824</v>
      </c>
      <c r="D215" s="604">
        <f t="shared" ref="D215:M215" si="92">13492246</f>
        <v>13492246</v>
      </c>
      <c r="E215" s="604">
        <f>13492246+72564</f>
        <v>13564810</v>
      </c>
      <c r="F215" s="604">
        <f t="shared" si="92"/>
        <v>13492246</v>
      </c>
      <c r="G215" s="604">
        <f t="shared" si="92"/>
        <v>13492246</v>
      </c>
      <c r="H215" s="604">
        <f>13492246+411269+605530-782302</f>
        <v>13726743</v>
      </c>
      <c r="I215" s="604">
        <f t="shared" si="92"/>
        <v>13492246</v>
      </c>
      <c r="J215" s="604">
        <f t="shared" si="92"/>
        <v>13492246</v>
      </c>
      <c r="K215" s="604">
        <f>13492246-290000+1099400+540000+1075500</f>
        <v>15917146</v>
      </c>
      <c r="L215" s="604">
        <f t="shared" si="92"/>
        <v>13492246</v>
      </c>
      <c r="M215" s="604">
        <f t="shared" si="92"/>
        <v>13492246</v>
      </c>
      <c r="N215" s="604">
        <f>13492244-15000-130000</f>
        <v>13347244</v>
      </c>
      <c r="O215" s="605">
        <f t="shared" si="89"/>
        <v>172454489</v>
      </c>
    </row>
    <row r="216" spans="1:15" s="611" customFormat="1" ht="15.95" customHeight="1" thickBot="1">
      <c r="A216" s="607"/>
      <c r="B216" s="608" t="s">
        <v>107</v>
      </c>
      <c r="C216" s="609">
        <f t="shared" ref="C216:N216" si="93">SUM(C204:C215)</f>
        <v>91594589</v>
      </c>
      <c r="D216" s="609">
        <f t="shared" si="93"/>
        <v>83259011</v>
      </c>
      <c r="E216" s="609">
        <f t="shared" si="93"/>
        <v>110274511</v>
      </c>
      <c r="F216" s="609">
        <f t="shared" si="93"/>
        <v>83259011</v>
      </c>
      <c r="G216" s="609">
        <f t="shared" si="93"/>
        <v>105103011</v>
      </c>
      <c r="H216" s="609">
        <f t="shared" si="93"/>
        <v>115581131</v>
      </c>
      <c r="I216" s="609">
        <f t="shared" si="93"/>
        <v>108903073</v>
      </c>
      <c r="J216" s="609">
        <f t="shared" si="93"/>
        <v>131579773</v>
      </c>
      <c r="K216" s="609">
        <f t="shared" si="93"/>
        <v>121004482</v>
      </c>
      <c r="L216" s="609">
        <f t="shared" si="93"/>
        <v>83259011</v>
      </c>
      <c r="M216" s="609">
        <f t="shared" si="93"/>
        <v>88384316</v>
      </c>
      <c r="N216" s="609">
        <f t="shared" si="93"/>
        <v>180940287</v>
      </c>
      <c r="O216" s="610">
        <f t="shared" si="89"/>
        <v>1303142206</v>
      </c>
    </row>
    <row r="217" spans="1:15" s="611" customFormat="1" ht="15.95" customHeight="1" thickBot="1">
      <c r="A217" s="620"/>
      <c r="B217" s="621"/>
      <c r="C217" s="622"/>
      <c r="D217" s="622"/>
      <c r="E217" s="622"/>
      <c r="F217" s="622"/>
      <c r="G217" s="622"/>
      <c r="H217" s="622"/>
      <c r="I217" s="622"/>
      <c r="J217" s="622"/>
      <c r="K217" s="622"/>
      <c r="L217" s="622"/>
      <c r="M217" s="622"/>
      <c r="N217" s="622"/>
      <c r="O217" s="622"/>
    </row>
    <row r="218" spans="1:15" ht="16.5" thickBot="1">
      <c r="A218" s="607"/>
      <c r="B218" s="608" t="s">
        <v>108</v>
      </c>
      <c r="C218" s="609">
        <f t="shared" ref="C218:O218" si="94">C200-C216</f>
        <v>551454219</v>
      </c>
      <c r="D218" s="609">
        <f t="shared" si="94"/>
        <v>-46677487</v>
      </c>
      <c r="E218" s="609">
        <f t="shared" si="94"/>
        <v>-70159909</v>
      </c>
      <c r="F218" s="609">
        <f t="shared" si="94"/>
        <v>-46677487</v>
      </c>
      <c r="G218" s="609">
        <f t="shared" si="94"/>
        <v>-68521487</v>
      </c>
      <c r="H218" s="609">
        <f t="shared" si="94"/>
        <v>-37216590</v>
      </c>
      <c r="I218" s="609">
        <f t="shared" si="94"/>
        <v>17337123</v>
      </c>
      <c r="J218" s="609">
        <f t="shared" si="94"/>
        <v>-58812096</v>
      </c>
      <c r="K218" s="609">
        <f t="shared" si="94"/>
        <v>-26975787</v>
      </c>
      <c r="L218" s="609">
        <f t="shared" si="94"/>
        <v>-46677487</v>
      </c>
      <c r="M218" s="609">
        <f t="shared" si="94"/>
        <v>-46777487</v>
      </c>
      <c r="N218" s="609">
        <f t="shared" si="94"/>
        <v>-120295525</v>
      </c>
      <c r="O218" s="610">
        <f t="shared" si="94"/>
        <v>0</v>
      </c>
    </row>
    <row r="221" spans="1:15" ht="20.25" customHeight="1">
      <c r="A221" s="796" t="s">
        <v>707</v>
      </c>
      <c r="B221" s="797"/>
      <c r="C221" s="797"/>
      <c r="D221" s="797"/>
      <c r="E221" s="797"/>
      <c r="F221" s="797"/>
      <c r="G221" s="797"/>
      <c r="H221" s="797"/>
      <c r="I221" s="797"/>
      <c r="J221" s="797"/>
      <c r="K221" s="797"/>
      <c r="L221" s="797"/>
      <c r="M221" s="797"/>
      <c r="N221" s="797"/>
      <c r="O221" s="797"/>
    </row>
    <row r="222" spans="1:15" ht="21" customHeight="1">
      <c r="A222" s="796" t="s">
        <v>781</v>
      </c>
      <c r="B222" s="796"/>
      <c r="C222" s="796"/>
      <c r="D222" s="796"/>
      <c r="E222" s="796"/>
      <c r="F222" s="796"/>
      <c r="G222" s="796"/>
      <c r="H222" s="796"/>
      <c r="I222" s="796"/>
      <c r="J222" s="796"/>
      <c r="K222" s="796"/>
      <c r="L222" s="796"/>
      <c r="M222" s="796"/>
      <c r="N222" s="796"/>
      <c r="O222" s="796"/>
    </row>
    <row r="223" spans="1:15" ht="21" customHeight="1">
      <c r="A223" s="595"/>
      <c r="B223" s="595"/>
      <c r="C223" s="595"/>
      <c r="D223" s="595"/>
      <c r="E223" s="595"/>
      <c r="F223" s="595"/>
      <c r="G223" s="595"/>
      <c r="H223" s="595"/>
      <c r="I223" s="595"/>
      <c r="J223" s="595"/>
      <c r="K223" s="595"/>
      <c r="L223" s="595"/>
      <c r="M223" s="595"/>
      <c r="N223" s="595"/>
      <c r="O223" s="595"/>
    </row>
    <row r="224" spans="1:15" ht="16.5" thickBot="1">
      <c r="O224" s="596" t="s">
        <v>588</v>
      </c>
    </row>
    <row r="225" spans="1:15" s="592" customFormat="1" ht="31.5" customHeight="1" thickBot="1">
      <c r="A225" s="597" t="s">
        <v>14</v>
      </c>
      <c r="B225" s="598" t="s">
        <v>58</v>
      </c>
      <c r="C225" s="598" t="s">
        <v>70</v>
      </c>
      <c r="D225" s="598" t="s">
        <v>71</v>
      </c>
      <c r="E225" s="598" t="s">
        <v>72</v>
      </c>
      <c r="F225" s="598" t="s">
        <v>73</v>
      </c>
      <c r="G225" s="598" t="s">
        <v>74</v>
      </c>
      <c r="H225" s="598" t="s">
        <v>75</v>
      </c>
      <c r="I225" s="598" t="s">
        <v>76</v>
      </c>
      <c r="J225" s="598" t="s">
        <v>77</v>
      </c>
      <c r="K225" s="598" t="s">
        <v>78</v>
      </c>
      <c r="L225" s="598" t="s">
        <v>79</v>
      </c>
      <c r="M225" s="598" t="s">
        <v>80</v>
      </c>
      <c r="N225" s="598" t="s">
        <v>81</v>
      </c>
      <c r="O225" s="599" t="s">
        <v>48</v>
      </c>
    </row>
    <row r="226" spans="1:15" s="601" customFormat="1" ht="15" customHeight="1" thickBot="1">
      <c r="A226" s="600"/>
      <c r="B226" s="799" t="s">
        <v>53</v>
      </c>
      <c r="C226" s="800"/>
      <c r="D226" s="800"/>
      <c r="E226" s="800"/>
      <c r="F226" s="800"/>
      <c r="G226" s="800"/>
      <c r="H226" s="800"/>
      <c r="I226" s="800"/>
      <c r="J226" s="800"/>
      <c r="K226" s="800"/>
      <c r="L226" s="800"/>
      <c r="M226" s="800"/>
      <c r="N226" s="800"/>
      <c r="O226" s="801"/>
    </row>
    <row r="227" spans="1:15" s="606" customFormat="1" ht="22.5" customHeight="1">
      <c r="A227" s="602" t="s">
        <v>16</v>
      </c>
      <c r="B227" s="603" t="s">
        <v>371</v>
      </c>
      <c r="C227" s="604">
        <v>18199640</v>
      </c>
      <c r="D227" s="604">
        <v>18199640</v>
      </c>
      <c r="E227" s="604">
        <f>18199640+280587+241524</f>
        <v>18721751</v>
      </c>
      <c r="F227" s="604">
        <v>18199640</v>
      </c>
      <c r="G227" s="604">
        <v>18199640</v>
      </c>
      <c r="H227" s="604">
        <f>18199640+411269+533400-152000+187376+293730-2814800</f>
        <v>16658615</v>
      </c>
      <c r="I227" s="604">
        <v>18199640</v>
      </c>
      <c r="J227" s="604">
        <f>18199640+19701700+2500000</f>
        <v>40401340</v>
      </c>
      <c r="K227" s="604">
        <f>18199640+585071+281066+540000</f>
        <v>19605777</v>
      </c>
      <c r="L227" s="604">
        <v>18199640</v>
      </c>
      <c r="M227" s="604">
        <f>18199640+506728+226143+291818+2951480</f>
        <v>22175809</v>
      </c>
      <c r="N227" s="604">
        <f>18199639+3207200+191640+92490+145909+92494+173484+51252-141100+1056000+518310</f>
        <v>23587318</v>
      </c>
      <c r="O227" s="605">
        <f t="shared" ref="O227:O236" si="95">SUM(C227:N227)</f>
        <v>250348450</v>
      </c>
    </row>
    <row r="228" spans="1:15" s="606" customFormat="1" ht="22.5" customHeight="1">
      <c r="A228" s="602" t="s">
        <v>17</v>
      </c>
      <c r="B228" s="603" t="s">
        <v>601</v>
      </c>
      <c r="C228" s="604">
        <f>4343448</f>
        <v>4343448</v>
      </c>
      <c r="D228" s="604">
        <f t="shared" ref="D228:N228" si="96">4343448</f>
        <v>4343448</v>
      </c>
      <c r="E228" s="604">
        <f>4343448+105000+715832+78540+119640+1919391</f>
        <v>7281851</v>
      </c>
      <c r="F228" s="604">
        <f t="shared" si="96"/>
        <v>4343448</v>
      </c>
      <c r="G228" s="604">
        <f t="shared" si="96"/>
        <v>4343448</v>
      </c>
      <c r="H228" s="604">
        <f>4343448+1418795-1919391+2706807+112502</f>
        <v>6662161</v>
      </c>
      <c r="I228" s="604">
        <f t="shared" si="96"/>
        <v>4343448</v>
      </c>
      <c r="J228" s="604">
        <f>4343448-19701700</f>
        <v>-15358252</v>
      </c>
      <c r="K228" s="604">
        <f>4343448+19701700+37000+75000+962832+585681+536874-22400+366520+18253</f>
        <v>26604908</v>
      </c>
      <c r="L228" s="604">
        <f t="shared" si="96"/>
        <v>4343448</v>
      </c>
      <c r="M228" s="604">
        <f>4343448+306000+37000+706136</f>
        <v>5392584</v>
      </c>
      <c r="N228" s="604">
        <f t="shared" si="96"/>
        <v>4343448</v>
      </c>
      <c r="O228" s="605">
        <f t="shared" si="95"/>
        <v>60987388</v>
      </c>
    </row>
    <row r="229" spans="1:15" s="606" customFormat="1" ht="22.5" customHeight="1">
      <c r="A229" s="602" t="s">
        <v>18</v>
      </c>
      <c r="B229" s="603" t="s">
        <v>600</v>
      </c>
      <c r="C229" s="604"/>
      <c r="D229" s="604"/>
      <c r="E229" s="604"/>
      <c r="F229" s="604"/>
      <c r="G229" s="604"/>
      <c r="H229" s="604">
        <f>7817442</f>
        <v>7817442</v>
      </c>
      <c r="I229" s="604">
        <v>55972518</v>
      </c>
      <c r="J229" s="604"/>
      <c r="K229" s="604"/>
      <c r="L229" s="604"/>
      <c r="M229" s="604"/>
      <c r="N229" s="604"/>
      <c r="O229" s="605">
        <f t="shared" si="95"/>
        <v>63789960</v>
      </c>
    </row>
    <row r="230" spans="1:15" s="606" customFormat="1" ht="22.5" customHeight="1">
      <c r="A230" s="602" t="s">
        <v>19</v>
      </c>
      <c r="B230" s="603" t="s">
        <v>165</v>
      </c>
      <c r="C230" s="604">
        <f>10827500</f>
        <v>10827500</v>
      </c>
      <c r="D230" s="604">
        <f t="shared" ref="D230:M230" si="97">10827500</f>
        <v>10827500</v>
      </c>
      <c r="E230" s="604">
        <f t="shared" si="97"/>
        <v>10827500</v>
      </c>
      <c r="F230" s="604">
        <f t="shared" si="97"/>
        <v>10827500</v>
      </c>
      <c r="G230" s="604">
        <f t="shared" si="97"/>
        <v>10827500</v>
      </c>
      <c r="H230" s="604">
        <f t="shared" si="97"/>
        <v>10827500</v>
      </c>
      <c r="I230" s="604">
        <f t="shared" si="97"/>
        <v>10827500</v>
      </c>
      <c r="J230" s="604">
        <f t="shared" si="97"/>
        <v>10827500</v>
      </c>
      <c r="K230" s="604">
        <f t="shared" si="97"/>
        <v>10827500</v>
      </c>
      <c r="L230" s="604">
        <f t="shared" si="97"/>
        <v>10827500</v>
      </c>
      <c r="M230" s="604">
        <f t="shared" si="97"/>
        <v>10827500</v>
      </c>
      <c r="N230" s="604">
        <f>10827500+18000000+5498000+300000+4130000</f>
        <v>38755500</v>
      </c>
      <c r="O230" s="605">
        <f t="shared" si="95"/>
        <v>157858000</v>
      </c>
    </row>
    <row r="231" spans="1:15" s="606" customFormat="1" ht="22.5" customHeight="1">
      <c r="A231" s="602" t="s">
        <v>20</v>
      </c>
      <c r="B231" s="603" t="s">
        <v>417</v>
      </c>
      <c r="C231" s="604">
        <f>3200936+412855</f>
        <v>3613791</v>
      </c>
      <c r="D231" s="604">
        <f t="shared" ref="D231:L231" si="98">3200936</f>
        <v>3200936</v>
      </c>
      <c r="E231" s="604">
        <f t="shared" si="98"/>
        <v>3200936</v>
      </c>
      <c r="F231" s="604">
        <f t="shared" si="98"/>
        <v>3200936</v>
      </c>
      <c r="G231" s="604">
        <f t="shared" si="98"/>
        <v>3200936</v>
      </c>
      <c r="H231" s="604">
        <f>3200936+33686153+82824+167910-249000-150000</f>
        <v>36738823</v>
      </c>
      <c r="I231" s="604">
        <f>3200936+33686154</f>
        <v>36887090</v>
      </c>
      <c r="J231" s="604">
        <f>3200936+33686153</f>
        <v>36887089</v>
      </c>
      <c r="K231" s="604">
        <f>3200936+33770000+9574</f>
        <v>36980510</v>
      </c>
      <c r="L231" s="604">
        <f t="shared" si="98"/>
        <v>3200936</v>
      </c>
      <c r="M231" s="604">
        <f>3200936</f>
        <v>3200936</v>
      </c>
      <c r="N231" s="604">
        <f>3200936+1370000+1426000+1780000</f>
        <v>7776936</v>
      </c>
      <c r="O231" s="605">
        <f t="shared" si="95"/>
        <v>178089855</v>
      </c>
    </row>
    <row r="232" spans="1:15" s="606" customFormat="1" ht="22.5" customHeight="1">
      <c r="A232" s="602" t="s">
        <v>21</v>
      </c>
      <c r="B232" s="603" t="s">
        <v>10</v>
      </c>
      <c r="C232" s="604">
        <v>10000</v>
      </c>
      <c r="D232" s="604">
        <v>10000</v>
      </c>
      <c r="E232" s="604">
        <v>10000</v>
      </c>
      <c r="F232" s="604">
        <v>10000</v>
      </c>
      <c r="G232" s="604">
        <v>10000</v>
      </c>
      <c r="H232" s="604">
        <v>10000</v>
      </c>
      <c r="I232" s="604">
        <v>10000</v>
      </c>
      <c r="J232" s="604">
        <v>10000</v>
      </c>
      <c r="K232" s="604">
        <v>10000</v>
      </c>
      <c r="L232" s="604">
        <v>10000</v>
      </c>
      <c r="M232" s="604">
        <v>10000</v>
      </c>
      <c r="N232" s="604">
        <f>10000+106000</f>
        <v>116000</v>
      </c>
      <c r="O232" s="605">
        <f t="shared" si="95"/>
        <v>226000</v>
      </c>
    </row>
    <row r="233" spans="1:15" s="606" customFormat="1" ht="22.5" customHeight="1">
      <c r="A233" s="602" t="s">
        <v>22</v>
      </c>
      <c r="B233" s="603" t="s">
        <v>373</v>
      </c>
      <c r="C233" s="604"/>
      <c r="D233" s="604"/>
      <c r="E233" s="604"/>
      <c r="F233" s="604"/>
      <c r="G233" s="604"/>
      <c r="H233" s="604"/>
      <c r="I233" s="604"/>
      <c r="J233" s="604"/>
      <c r="K233" s="604"/>
      <c r="L233" s="604"/>
      <c r="M233" s="604"/>
      <c r="N233" s="604"/>
      <c r="O233" s="605">
        <f t="shared" si="95"/>
        <v>0</v>
      </c>
    </row>
    <row r="234" spans="1:15" s="606" customFormat="1" ht="22.5" customHeight="1">
      <c r="A234" s="602" t="s">
        <v>23</v>
      </c>
      <c r="B234" s="603" t="s">
        <v>405</v>
      </c>
      <c r="C234" s="604"/>
      <c r="D234" s="604"/>
      <c r="E234" s="604"/>
      <c r="F234" s="604"/>
      <c r="G234" s="604"/>
      <c r="H234" s="604"/>
      <c r="I234" s="604"/>
      <c r="J234" s="604"/>
      <c r="K234" s="604"/>
      <c r="L234" s="604"/>
      <c r="M234" s="604"/>
      <c r="N234" s="604"/>
      <c r="O234" s="605">
        <f t="shared" si="95"/>
        <v>0</v>
      </c>
    </row>
    <row r="235" spans="1:15" s="606" customFormat="1" ht="22.5" customHeight="1" thickBot="1">
      <c r="A235" s="602" t="s">
        <v>24</v>
      </c>
      <c r="B235" s="603" t="s">
        <v>11</v>
      </c>
      <c r="C235" s="604">
        <v>606054429</v>
      </c>
      <c r="D235" s="604"/>
      <c r="E235" s="604">
        <v>72564</v>
      </c>
      <c r="F235" s="604"/>
      <c r="G235" s="604"/>
      <c r="H235" s="604">
        <f>-350000</f>
        <v>-350000</v>
      </c>
      <c r="I235" s="604"/>
      <c r="J235" s="604"/>
      <c r="K235" s="604"/>
      <c r="L235" s="604"/>
      <c r="M235" s="604"/>
      <c r="N235" s="604">
        <v>8107720</v>
      </c>
      <c r="O235" s="605">
        <f t="shared" si="95"/>
        <v>613884713</v>
      </c>
    </row>
    <row r="236" spans="1:15" s="611" customFormat="1" ht="15.95" customHeight="1" thickBot="1">
      <c r="A236" s="607"/>
      <c r="B236" s="608" t="s">
        <v>106</v>
      </c>
      <c r="C236" s="609">
        <f t="shared" ref="C236:N236" si="99">SUM(C227:C235)</f>
        <v>643048808</v>
      </c>
      <c r="D236" s="609">
        <f t="shared" si="99"/>
        <v>36581524</v>
      </c>
      <c r="E236" s="609">
        <f t="shared" si="99"/>
        <v>40114602</v>
      </c>
      <c r="F236" s="609">
        <f t="shared" si="99"/>
        <v>36581524</v>
      </c>
      <c r="G236" s="609">
        <f t="shared" si="99"/>
        <v>36581524</v>
      </c>
      <c r="H236" s="609">
        <f t="shared" si="99"/>
        <v>78364541</v>
      </c>
      <c r="I236" s="609">
        <f t="shared" si="99"/>
        <v>126240196</v>
      </c>
      <c r="J236" s="609">
        <f t="shared" si="99"/>
        <v>72767677</v>
      </c>
      <c r="K236" s="609">
        <f t="shared" si="99"/>
        <v>94028695</v>
      </c>
      <c r="L236" s="609">
        <f t="shared" si="99"/>
        <v>36581524</v>
      </c>
      <c r="M236" s="609">
        <f t="shared" si="99"/>
        <v>41606829</v>
      </c>
      <c r="N236" s="609">
        <f t="shared" si="99"/>
        <v>82686922</v>
      </c>
      <c r="O236" s="610">
        <f t="shared" si="95"/>
        <v>1325184366</v>
      </c>
    </row>
    <row r="237" spans="1:15" s="611" customFormat="1" ht="15.95" customHeight="1">
      <c r="A237" s="612"/>
      <c r="B237" s="613"/>
      <c r="C237" s="614"/>
      <c r="D237" s="614"/>
      <c r="E237" s="614"/>
      <c r="F237" s="614"/>
      <c r="G237" s="614"/>
      <c r="H237" s="614"/>
      <c r="I237" s="614"/>
      <c r="J237" s="614"/>
      <c r="K237" s="614"/>
      <c r="L237" s="614"/>
      <c r="M237" s="614"/>
      <c r="N237" s="614"/>
      <c r="O237" s="614"/>
    </row>
    <row r="238" spans="1:15" s="618" customFormat="1" ht="15.95" customHeight="1">
      <c r="A238" s="615"/>
      <c r="B238" s="616"/>
      <c r="C238" s="617"/>
      <c r="D238" s="617"/>
      <c r="E238" s="617"/>
      <c r="F238" s="617"/>
      <c r="G238" s="617"/>
      <c r="H238" s="617"/>
      <c r="I238" s="617"/>
      <c r="J238" s="617"/>
      <c r="K238" s="617"/>
      <c r="L238" s="617"/>
      <c r="M238" s="617"/>
      <c r="N238" s="617"/>
      <c r="O238" s="617"/>
    </row>
    <row r="239" spans="1:15" s="601" customFormat="1" ht="15" customHeight="1" thickBot="1">
      <c r="A239" s="619"/>
      <c r="B239" s="802" t="s">
        <v>54</v>
      </c>
      <c r="C239" s="803"/>
      <c r="D239" s="803"/>
      <c r="E239" s="803"/>
      <c r="F239" s="803"/>
      <c r="G239" s="803"/>
      <c r="H239" s="803"/>
      <c r="I239" s="803"/>
      <c r="J239" s="803"/>
      <c r="K239" s="803"/>
      <c r="L239" s="803"/>
      <c r="M239" s="803"/>
      <c r="N239" s="803"/>
      <c r="O239" s="804"/>
    </row>
    <row r="240" spans="1:15" s="606" customFormat="1" ht="22.5" customHeight="1">
      <c r="A240" s="602" t="s">
        <v>16</v>
      </c>
      <c r="B240" s="603" t="s">
        <v>59</v>
      </c>
      <c r="C240" s="604">
        <f>5217471</f>
        <v>5217471</v>
      </c>
      <c r="D240" s="604">
        <f t="shared" ref="D240:L240" si="100">5217471</f>
        <v>5217471</v>
      </c>
      <c r="E240" s="604">
        <f>5217471+652240</f>
        <v>5869711</v>
      </c>
      <c r="F240" s="604">
        <f t="shared" si="100"/>
        <v>5217471</v>
      </c>
      <c r="G240" s="604">
        <f t="shared" si="100"/>
        <v>5217471</v>
      </c>
      <c r="H240" s="604">
        <f>5217471+4506267+2595000+80625-3120000-136576</f>
        <v>9142787</v>
      </c>
      <c r="I240" s="604">
        <f>5217471+4506268</f>
        <v>9723739</v>
      </c>
      <c r="J240" s="604">
        <f>5217471+4506268</f>
        <v>9723739</v>
      </c>
      <c r="K240" s="604">
        <f>5217471+600000-600000+533651+489180-346778-10908+805717+3000000</f>
        <v>9688333</v>
      </c>
      <c r="L240" s="604">
        <f t="shared" si="100"/>
        <v>5217471</v>
      </c>
      <c r="M240" s="604">
        <f>5217471+600000</f>
        <v>5817471</v>
      </c>
      <c r="N240" s="604">
        <f>5217471+548400</f>
        <v>5765871</v>
      </c>
      <c r="O240" s="605">
        <f>SUM(C240:N240)</f>
        <v>81819006</v>
      </c>
    </row>
    <row r="241" spans="1:15" s="606" customFormat="1" ht="22.5" customHeight="1">
      <c r="A241" s="602" t="s">
        <v>17</v>
      </c>
      <c r="B241" s="603" t="s">
        <v>174</v>
      </c>
      <c r="C241" s="604">
        <f>1132689</f>
        <v>1132689</v>
      </c>
      <c r="D241" s="604">
        <f t="shared" ref="D241:L241" si="101">1132689</f>
        <v>1132689</v>
      </c>
      <c r="E241" s="604">
        <f>1132689+63592</f>
        <v>1196281</v>
      </c>
      <c r="F241" s="604">
        <f t="shared" si="101"/>
        <v>1132689</v>
      </c>
      <c r="G241" s="604">
        <f t="shared" si="101"/>
        <v>1132689</v>
      </c>
      <c r="H241" s="604">
        <f>1132689+930804+506025+27590-608400-30047</f>
        <v>1958661</v>
      </c>
      <c r="I241" s="604">
        <f>1132689+930811</f>
        <v>2063500</v>
      </c>
      <c r="J241" s="604">
        <f>1132689+930811</f>
        <v>2063500</v>
      </c>
      <c r="K241" s="604">
        <f>1132689+117000-117000+52030+47694-67622-2400+157115+585000</f>
        <v>1904506</v>
      </c>
      <c r="L241" s="604">
        <f t="shared" si="101"/>
        <v>1132689</v>
      </c>
      <c r="M241" s="604">
        <f>1132689+106136</f>
        <v>1238825</v>
      </c>
      <c r="N241" s="604">
        <f>1132689+106938</f>
        <v>1239627</v>
      </c>
      <c r="O241" s="605">
        <f>SUM(C241:N241)</f>
        <v>17328345</v>
      </c>
    </row>
    <row r="242" spans="1:15" s="606" customFormat="1" ht="22.5" customHeight="1">
      <c r="A242" s="602" t="s">
        <v>18</v>
      </c>
      <c r="B242" s="603" t="s">
        <v>133</v>
      </c>
      <c r="C242" s="604">
        <f>12710254</f>
        <v>12710254</v>
      </c>
      <c r="D242" s="604">
        <f>12710254</f>
        <v>12710254</v>
      </c>
      <c r="E242" s="604">
        <f>12710254+635000+101600</f>
        <v>13446854</v>
      </c>
      <c r="F242" s="604">
        <f>12710254</f>
        <v>12710254</v>
      </c>
      <c r="G242" s="604">
        <f>12710254</f>
        <v>12710254</v>
      </c>
      <c r="H242" s="604">
        <f>12710254+20206980+533400+167910+190500+34360+13694572+9032376+6502400+702474+132358+1911775+1441313</f>
        <v>67260672</v>
      </c>
      <c r="I242" s="604">
        <f>12710254+20206983</f>
        <v>32917237</v>
      </c>
      <c r="J242" s="604">
        <f>12710254+20206983</f>
        <v>32917237</v>
      </c>
      <c r="K242" s="604">
        <f>12710254-175536-375067-121089+7200000+6350000</f>
        <v>25588562</v>
      </c>
      <c r="L242" s="604">
        <f>12710254</f>
        <v>12710254</v>
      </c>
      <c r="M242" s="604">
        <f>13016254+21143000+140000+2951480</f>
        <v>37250734</v>
      </c>
      <c r="N242" s="604">
        <f>12710254-400000-230000+1056000</f>
        <v>13136254</v>
      </c>
      <c r="O242" s="605">
        <f>SUM(C242:N242)</f>
        <v>286068820</v>
      </c>
    </row>
    <row r="243" spans="1:15" s="606" customFormat="1" ht="22.5" customHeight="1">
      <c r="A243" s="602" t="s">
        <v>19</v>
      </c>
      <c r="B243" s="603" t="s">
        <v>175</v>
      </c>
      <c r="C243" s="604">
        <f>792500</f>
        <v>792500</v>
      </c>
      <c r="D243" s="604">
        <f t="shared" ref="D243:N243" si="102">792500</f>
        <v>792500</v>
      </c>
      <c r="E243" s="604">
        <f t="shared" si="102"/>
        <v>792500</v>
      </c>
      <c r="F243" s="604">
        <f t="shared" si="102"/>
        <v>792500</v>
      </c>
      <c r="G243" s="604">
        <f t="shared" si="102"/>
        <v>792500</v>
      </c>
      <c r="H243" s="604">
        <f t="shared" si="102"/>
        <v>792500</v>
      </c>
      <c r="I243" s="604">
        <f t="shared" si="102"/>
        <v>792500</v>
      </c>
      <c r="J243" s="604">
        <f>792500+100000</f>
        <v>892500</v>
      </c>
      <c r="K243" s="604">
        <f t="shared" si="102"/>
        <v>792500</v>
      </c>
      <c r="L243" s="604">
        <f t="shared" si="102"/>
        <v>792500</v>
      </c>
      <c r="M243" s="604">
        <f>792500+100000</f>
        <v>892500</v>
      </c>
      <c r="N243" s="604">
        <f t="shared" si="102"/>
        <v>792500</v>
      </c>
      <c r="O243" s="605">
        <f>SUM(C243:N243)</f>
        <v>9710000</v>
      </c>
    </row>
    <row r="244" spans="1:15" s="606" customFormat="1" ht="22.5" customHeight="1">
      <c r="A244" s="602" t="s">
        <v>20</v>
      </c>
      <c r="B244" s="603" t="s">
        <v>652</v>
      </c>
      <c r="C244" s="604"/>
      <c r="D244" s="604"/>
      <c r="E244" s="604">
        <v>272642</v>
      </c>
      <c r="F244" s="604"/>
      <c r="G244" s="604"/>
      <c r="H244" s="604"/>
      <c r="I244" s="604"/>
      <c r="J244" s="604"/>
      <c r="K244" s="604"/>
      <c r="L244" s="604"/>
      <c r="M244" s="604"/>
      <c r="N244" s="604">
        <v>400000</v>
      </c>
      <c r="O244" s="605">
        <f>SUM(C244:N244)</f>
        <v>672642</v>
      </c>
    </row>
    <row r="245" spans="1:15" s="606" customFormat="1" ht="22.5" customHeight="1">
      <c r="A245" s="602" t="s">
        <v>21</v>
      </c>
      <c r="B245" s="603" t="s">
        <v>601</v>
      </c>
      <c r="C245" s="604">
        <f>8998687+375000</f>
        <v>9373687</v>
      </c>
      <c r="D245" s="604">
        <f t="shared" ref="D245:L245" si="103">8998687</f>
        <v>8998687</v>
      </c>
      <c r="E245" s="604">
        <f>8998687+3939780+3987864</f>
        <v>16926331</v>
      </c>
      <c r="F245" s="604">
        <f t="shared" si="103"/>
        <v>8998687</v>
      </c>
      <c r="G245" s="604">
        <f t="shared" si="103"/>
        <v>8998687</v>
      </c>
      <c r="H245" s="604">
        <f>8998687+1224473-374484</f>
        <v>9848676</v>
      </c>
      <c r="I245" s="604">
        <f t="shared" si="103"/>
        <v>8998687</v>
      </c>
      <c r="J245" s="604">
        <f>8998687+375000</f>
        <v>9373687</v>
      </c>
      <c r="K245" s="604">
        <f t="shared" si="103"/>
        <v>8998687</v>
      </c>
      <c r="L245" s="604">
        <f t="shared" si="103"/>
        <v>8998687</v>
      </c>
      <c r="M245" s="604">
        <f>8998687+100000</f>
        <v>9098687</v>
      </c>
      <c r="N245" s="604">
        <f>8998683+3207200-95000</f>
        <v>12110883</v>
      </c>
      <c r="O245" s="605">
        <f t="shared" ref="O245:O252" si="104">SUM(C245:N245)</f>
        <v>120724073</v>
      </c>
    </row>
    <row r="246" spans="1:15" s="606" customFormat="1" ht="22.5" customHeight="1">
      <c r="A246" s="602" t="s">
        <v>22</v>
      </c>
      <c r="B246" s="603" t="s">
        <v>602</v>
      </c>
      <c r="C246" s="604"/>
      <c r="D246" s="604"/>
      <c r="E246" s="604">
        <f>17830000+1440000</f>
        <v>19270000</v>
      </c>
      <c r="F246" s="604"/>
      <c r="G246" s="604"/>
      <c r="H246" s="604">
        <f>30000</f>
        <v>30000</v>
      </c>
      <c r="I246" s="604"/>
      <c r="J246" s="604">
        <f>19701700+2500000</f>
        <v>22201700</v>
      </c>
      <c r="K246" s="604"/>
      <c r="L246" s="604"/>
      <c r="M246" s="604"/>
      <c r="N246" s="604">
        <f>50000-578000+95000</f>
        <v>-433000</v>
      </c>
      <c r="O246" s="605">
        <f t="shared" si="104"/>
        <v>41068700</v>
      </c>
    </row>
    <row r="247" spans="1:15" s="606" customFormat="1" ht="22.5" customHeight="1">
      <c r="A247" s="602" t="s">
        <v>23</v>
      </c>
      <c r="B247" s="603" t="s">
        <v>556</v>
      </c>
      <c r="C247" s="604"/>
      <c r="D247" s="604"/>
      <c r="E247" s="604">
        <f>105000+78540+119640+280587+241524+1919391-3987864</f>
        <v>-1243182</v>
      </c>
      <c r="F247" s="604"/>
      <c r="G247" s="604"/>
      <c r="H247" s="604">
        <f>-5717922+82824-350000-152000+187376+293730-1919391-1224473-1000000-3101025-2814800+374484-605530+782302-190500-142575-249000-150000-2774000-5000000-3086614-597073-30000</f>
        <v>-27384187</v>
      </c>
      <c r="I247" s="604"/>
      <c r="J247" s="604"/>
      <c r="K247" s="604">
        <f>37000+75000+290000+962832-962832-717000-717000+585071+281066+33770000-7200000+9574+344520-6350000-1075500-3585000+18253+1433600-50000</f>
        <v>17149584</v>
      </c>
      <c r="L247" s="604"/>
      <c r="M247" s="604">
        <f>37000-26672-100000-27700000+226143+291818</f>
        <v>-27271711</v>
      </c>
      <c r="N247" s="604">
        <f>73618052+15000+130000+191640+1370000+18000000+92490+145909-50000-655338+92494+173484+51252-141100+518310+255000+6924000+300000+6016000</f>
        <v>107047193</v>
      </c>
      <c r="O247" s="605">
        <f t="shared" si="104"/>
        <v>68297697</v>
      </c>
    </row>
    <row r="248" spans="1:15" s="606" customFormat="1" ht="22.5" customHeight="1">
      <c r="A248" s="602" t="s">
        <v>24</v>
      </c>
      <c r="B248" s="603" t="s">
        <v>219</v>
      </c>
      <c r="C248" s="604">
        <f>29531785</f>
        <v>29531785</v>
      </c>
      <c r="D248" s="604">
        <f t="shared" ref="D248:L248" si="105">29531785</f>
        <v>29531785</v>
      </c>
      <c r="E248" s="604">
        <f>29531785-635000-101600</f>
        <v>28795185</v>
      </c>
      <c r="F248" s="604">
        <f t="shared" si="105"/>
        <v>29531785</v>
      </c>
      <c r="G248" s="604">
        <f>29531785+15494000</f>
        <v>45025785</v>
      </c>
      <c r="H248" s="604">
        <f>29531785+5717922+1000000-76200-13694572-6566274+9196991-1399405+6779509-946684-2746211-1911775-1441313</f>
        <v>23443773</v>
      </c>
      <c r="I248" s="604">
        <f t="shared" si="105"/>
        <v>29531785</v>
      </c>
      <c r="J248" s="604">
        <f t="shared" si="105"/>
        <v>29531785</v>
      </c>
      <c r="K248" s="604">
        <f t="shared" si="105"/>
        <v>29531785</v>
      </c>
      <c r="L248" s="604">
        <f t="shared" si="105"/>
        <v>29531785</v>
      </c>
      <c r="M248" s="604">
        <f>29531785+533400</f>
        <v>30065185</v>
      </c>
      <c r="N248" s="604">
        <f>29531779</f>
        <v>29531779</v>
      </c>
      <c r="O248" s="605">
        <f t="shared" si="104"/>
        <v>363584202</v>
      </c>
    </row>
    <row r="249" spans="1:15" s="606" customFormat="1" ht="22.5" customHeight="1">
      <c r="A249" s="602" t="s">
        <v>25</v>
      </c>
      <c r="B249" s="603" t="s">
        <v>178</v>
      </c>
      <c r="C249" s="604">
        <f>11383379</f>
        <v>11383379</v>
      </c>
      <c r="D249" s="604">
        <f t="shared" ref="D249:L249" si="106">11383379</f>
        <v>11383379</v>
      </c>
      <c r="E249" s="604">
        <f t="shared" si="106"/>
        <v>11383379</v>
      </c>
      <c r="F249" s="604">
        <f t="shared" si="106"/>
        <v>11383379</v>
      </c>
      <c r="G249" s="604">
        <f>11383379+6350000</f>
        <v>17733379</v>
      </c>
      <c r="H249" s="604">
        <f>11383379+76200-9032376+13737230+597073</f>
        <v>16761506</v>
      </c>
      <c r="I249" s="604">
        <f t="shared" si="106"/>
        <v>11383379</v>
      </c>
      <c r="J249" s="604">
        <f t="shared" si="106"/>
        <v>11383379</v>
      </c>
      <c r="K249" s="604">
        <f t="shared" si="106"/>
        <v>11383379</v>
      </c>
      <c r="L249" s="604">
        <f t="shared" si="106"/>
        <v>11383379</v>
      </c>
      <c r="M249" s="604">
        <f>11383379+27700000-21143000-140000</f>
        <v>17800379</v>
      </c>
      <c r="N249" s="604">
        <f>11383376+230000</f>
        <v>11613376</v>
      </c>
      <c r="O249" s="605">
        <f t="shared" si="104"/>
        <v>154975672</v>
      </c>
    </row>
    <row r="250" spans="1:15" s="606" customFormat="1" ht="22.5" customHeight="1">
      <c r="A250" s="602" t="s">
        <v>26</v>
      </c>
      <c r="B250" s="603" t="s">
        <v>222</v>
      </c>
      <c r="C250" s="604"/>
      <c r="D250" s="604"/>
      <c r="E250" s="604"/>
      <c r="F250" s="604"/>
      <c r="G250" s="604"/>
      <c r="H250" s="604"/>
      <c r="I250" s="604"/>
      <c r="J250" s="604"/>
      <c r="K250" s="604">
        <v>50000</v>
      </c>
      <c r="L250" s="604"/>
      <c r="M250" s="604"/>
      <c r="N250" s="604">
        <v>578000</v>
      </c>
      <c r="O250" s="605">
        <f t="shared" si="104"/>
        <v>628000</v>
      </c>
    </row>
    <row r="251" spans="1:15" s="606" customFormat="1" ht="22.5" customHeight="1" thickBot="1">
      <c r="A251" s="602" t="s">
        <v>27</v>
      </c>
      <c r="B251" s="603" t="s">
        <v>12</v>
      </c>
      <c r="C251" s="604">
        <f>13492246+7960578</f>
        <v>21452824</v>
      </c>
      <c r="D251" s="604">
        <f t="shared" ref="D251:M251" si="107">13492246</f>
        <v>13492246</v>
      </c>
      <c r="E251" s="604">
        <f>13492246+72564</f>
        <v>13564810</v>
      </c>
      <c r="F251" s="604">
        <f t="shared" si="107"/>
        <v>13492246</v>
      </c>
      <c r="G251" s="604">
        <f t="shared" si="107"/>
        <v>13492246</v>
      </c>
      <c r="H251" s="604">
        <f>13492246+411269+605530-782302</f>
        <v>13726743</v>
      </c>
      <c r="I251" s="604">
        <f t="shared" si="107"/>
        <v>13492246</v>
      </c>
      <c r="J251" s="604">
        <f t="shared" si="107"/>
        <v>13492246</v>
      </c>
      <c r="K251" s="604">
        <f>13492246-290000+1099400+540000+1075500</f>
        <v>15917146</v>
      </c>
      <c r="L251" s="604">
        <f t="shared" si="107"/>
        <v>13492246</v>
      </c>
      <c r="M251" s="604">
        <f t="shared" si="107"/>
        <v>13492246</v>
      </c>
      <c r="N251" s="604">
        <f>13492244-15000-130000-255000+8107720</f>
        <v>21199964</v>
      </c>
      <c r="O251" s="605">
        <f t="shared" si="104"/>
        <v>180307209</v>
      </c>
    </row>
    <row r="252" spans="1:15" s="611" customFormat="1" ht="15.95" customHeight="1" thickBot="1">
      <c r="A252" s="607"/>
      <c r="B252" s="608" t="s">
        <v>107</v>
      </c>
      <c r="C252" s="609">
        <f t="shared" ref="C252:N252" si="108">SUM(C240:C251)</f>
        <v>91594589</v>
      </c>
      <c r="D252" s="609">
        <f t="shared" si="108"/>
        <v>83259011</v>
      </c>
      <c r="E252" s="609">
        <f t="shared" si="108"/>
        <v>110274511</v>
      </c>
      <c r="F252" s="609">
        <f t="shared" si="108"/>
        <v>83259011</v>
      </c>
      <c r="G252" s="609">
        <f t="shared" si="108"/>
        <v>105103011</v>
      </c>
      <c r="H252" s="609">
        <f t="shared" si="108"/>
        <v>115581131</v>
      </c>
      <c r="I252" s="609">
        <f t="shared" si="108"/>
        <v>108903073</v>
      </c>
      <c r="J252" s="609">
        <f t="shared" si="108"/>
        <v>131579773</v>
      </c>
      <c r="K252" s="609">
        <f t="shared" si="108"/>
        <v>121004482</v>
      </c>
      <c r="L252" s="609">
        <f t="shared" si="108"/>
        <v>83259011</v>
      </c>
      <c r="M252" s="609">
        <f t="shared" si="108"/>
        <v>88384316</v>
      </c>
      <c r="N252" s="609">
        <f t="shared" si="108"/>
        <v>202982447</v>
      </c>
      <c r="O252" s="610">
        <f t="shared" si="104"/>
        <v>1325184366</v>
      </c>
    </row>
    <row r="253" spans="1:15" s="611" customFormat="1" ht="15.95" customHeight="1" thickBot="1">
      <c r="A253" s="620"/>
      <c r="B253" s="621"/>
      <c r="C253" s="622"/>
      <c r="D253" s="622"/>
      <c r="E253" s="622"/>
      <c r="F253" s="622"/>
      <c r="G253" s="622"/>
      <c r="H253" s="622"/>
      <c r="I253" s="622"/>
      <c r="J253" s="622"/>
      <c r="K253" s="622"/>
      <c r="L253" s="622"/>
      <c r="M253" s="622"/>
      <c r="N253" s="622"/>
      <c r="O253" s="622"/>
    </row>
    <row r="254" spans="1:15" ht="16.5" thickBot="1">
      <c r="A254" s="607"/>
      <c r="B254" s="608" t="s">
        <v>108</v>
      </c>
      <c r="C254" s="609">
        <f t="shared" ref="C254:O254" si="109">C236-C252</f>
        <v>551454219</v>
      </c>
      <c r="D254" s="609">
        <f t="shared" si="109"/>
        <v>-46677487</v>
      </c>
      <c r="E254" s="609">
        <f t="shared" si="109"/>
        <v>-70159909</v>
      </c>
      <c r="F254" s="609">
        <f t="shared" si="109"/>
        <v>-46677487</v>
      </c>
      <c r="G254" s="609">
        <f t="shared" si="109"/>
        <v>-68521487</v>
      </c>
      <c r="H254" s="609">
        <f t="shared" si="109"/>
        <v>-37216590</v>
      </c>
      <c r="I254" s="609">
        <f t="shared" si="109"/>
        <v>17337123</v>
      </c>
      <c r="J254" s="609">
        <f t="shared" si="109"/>
        <v>-58812096</v>
      </c>
      <c r="K254" s="609">
        <f t="shared" si="109"/>
        <v>-26975787</v>
      </c>
      <c r="L254" s="609">
        <f t="shared" si="109"/>
        <v>-46677487</v>
      </c>
      <c r="M254" s="609">
        <f t="shared" si="109"/>
        <v>-46777487</v>
      </c>
      <c r="N254" s="609">
        <f t="shared" si="109"/>
        <v>-120295525</v>
      </c>
      <c r="O254" s="610">
        <f t="shared" si="109"/>
        <v>0</v>
      </c>
    </row>
  </sheetData>
  <mergeCells count="29">
    <mergeCell ref="A149:O149"/>
    <mergeCell ref="A221:O221"/>
    <mergeCell ref="A222:O222"/>
    <mergeCell ref="B226:O226"/>
    <mergeCell ref="B239:O239"/>
    <mergeCell ref="A185:O185"/>
    <mergeCell ref="A186:O186"/>
    <mergeCell ref="B190:O190"/>
    <mergeCell ref="B203:O203"/>
    <mergeCell ref="B10:O10"/>
    <mergeCell ref="B167:O167"/>
    <mergeCell ref="B95:O95"/>
    <mergeCell ref="A150:O150"/>
    <mergeCell ref="B154:O154"/>
    <mergeCell ref="B23:O23"/>
    <mergeCell ref="B82:O82"/>
    <mergeCell ref="B131:O131"/>
    <mergeCell ref="A113:O113"/>
    <mergeCell ref="B118:O118"/>
    <mergeCell ref="A77:O77"/>
    <mergeCell ref="A114:O114"/>
    <mergeCell ref="L1:N1"/>
    <mergeCell ref="A41:O41"/>
    <mergeCell ref="A42:O42"/>
    <mergeCell ref="B46:O46"/>
    <mergeCell ref="B59:O59"/>
    <mergeCell ref="A78:O78"/>
    <mergeCell ref="A5:O5"/>
    <mergeCell ref="A6:O6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60" orientation="landscape" r:id="rId1"/>
  <headerFooter alignWithMargins="0">
    <oddHeader xml:space="preserve">&amp;R&amp;"Times New Roman CE,Félkövér dőlt"&amp;11 </oddHeader>
    <oddFooter>&amp;P. oldal, összesen: &amp;N</oddFooter>
  </headerFooter>
  <rowBreaks count="5" manualBreakCount="5">
    <brk id="40" max="14" man="1"/>
    <brk id="76" max="14" man="1"/>
    <brk id="112" max="14" man="1"/>
    <brk id="148" max="14" man="1"/>
    <brk id="184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  <pageSetUpPr fitToPage="1"/>
  </sheetPr>
  <dimension ref="A1:H47"/>
  <sheetViews>
    <sheetView zoomScaleNormal="100" workbookViewId="0">
      <selection activeCell="A10" sqref="A10"/>
    </sheetView>
  </sheetViews>
  <sheetFormatPr defaultRowHeight="15.75"/>
  <cols>
    <col min="1" max="1" width="106.83203125" style="411" bestFit="1" customWidth="1"/>
    <col min="2" max="8" width="31.33203125" style="411" customWidth="1"/>
    <col min="9" max="16384" width="9.33203125" style="411"/>
  </cols>
  <sheetData>
    <row r="1" spans="1:8">
      <c r="A1" s="579" t="s">
        <v>538</v>
      </c>
    </row>
    <row r="2" spans="1:8" ht="47.25" customHeight="1">
      <c r="A2" s="410" t="s">
        <v>595</v>
      </c>
    </row>
    <row r="3" spans="1:8" ht="47.25" customHeight="1">
      <c r="A3" s="412" t="s">
        <v>710</v>
      </c>
      <c r="B3" s="412"/>
      <c r="C3" s="412"/>
      <c r="D3" s="412"/>
      <c r="E3" s="412"/>
      <c r="F3" s="412"/>
      <c r="G3" s="412"/>
      <c r="H3" s="412"/>
    </row>
    <row r="4" spans="1:8" ht="22.5" customHeight="1">
      <c r="A4" s="413"/>
      <c r="B4" s="414" t="s">
        <v>588</v>
      </c>
      <c r="C4" s="414" t="s">
        <v>588</v>
      </c>
      <c r="D4" s="414" t="s">
        <v>588</v>
      </c>
      <c r="E4" s="414" t="s">
        <v>588</v>
      </c>
      <c r="F4" s="414" t="s">
        <v>588</v>
      </c>
      <c r="G4" s="414" t="s">
        <v>588</v>
      </c>
      <c r="H4" s="414" t="s">
        <v>588</v>
      </c>
    </row>
    <row r="5" spans="1:8" s="416" customFormat="1" ht="30.95" customHeight="1">
      <c r="A5" s="415" t="s">
        <v>49</v>
      </c>
      <c r="B5" s="415" t="s">
        <v>709</v>
      </c>
      <c r="C5" s="415" t="s">
        <v>742</v>
      </c>
      <c r="D5" s="415" t="s">
        <v>745</v>
      </c>
      <c r="E5" s="415" t="s">
        <v>756</v>
      </c>
      <c r="F5" s="415" t="s">
        <v>762</v>
      </c>
      <c r="G5" s="415" t="s">
        <v>775</v>
      </c>
      <c r="H5" s="415" t="s">
        <v>782</v>
      </c>
    </row>
    <row r="6" spans="1:8" s="417" customFormat="1">
      <c r="A6" s="415" t="s">
        <v>485</v>
      </c>
      <c r="B6" s="415" t="s">
        <v>486</v>
      </c>
      <c r="C6" s="415" t="s">
        <v>486</v>
      </c>
      <c r="D6" s="415" t="s">
        <v>486</v>
      </c>
      <c r="E6" s="415" t="s">
        <v>486</v>
      </c>
      <c r="F6" s="415" t="s">
        <v>486</v>
      </c>
      <c r="G6" s="415" t="s">
        <v>486</v>
      </c>
      <c r="H6" s="415" t="s">
        <v>486</v>
      </c>
    </row>
    <row r="7" spans="1:8">
      <c r="A7" s="418" t="s">
        <v>560</v>
      </c>
      <c r="B7" s="419">
        <f t="shared" ref="B7:G7" si="0">SUM(B8+B9+B15+B17+B16+B14)</f>
        <v>117822978</v>
      </c>
      <c r="C7" s="419">
        <f t="shared" si="0"/>
        <v>117822978</v>
      </c>
      <c r="D7" s="419">
        <f t="shared" si="0"/>
        <v>117822978</v>
      </c>
      <c r="E7" s="419">
        <f t="shared" si="0"/>
        <v>117822978</v>
      </c>
      <c r="F7" s="419">
        <f t="shared" si="0"/>
        <v>117822978</v>
      </c>
      <c r="G7" s="419">
        <f t="shared" si="0"/>
        <v>117822978</v>
      </c>
      <c r="H7" s="419">
        <f>SUM(H8+H9+H15+H17+H16+H14)</f>
        <v>117996462</v>
      </c>
    </row>
    <row r="8" spans="1:8" ht="15.75" customHeight="1">
      <c r="A8" s="420" t="s">
        <v>561</v>
      </c>
      <c r="B8" s="421">
        <v>48319000</v>
      </c>
      <c r="C8" s="421">
        <v>48319000</v>
      </c>
      <c r="D8" s="421">
        <v>48319000</v>
      </c>
      <c r="E8" s="421">
        <v>48319000</v>
      </c>
      <c r="F8" s="421">
        <v>48319000</v>
      </c>
      <c r="G8" s="421">
        <v>48319000</v>
      </c>
      <c r="H8" s="421">
        <v>48319000</v>
      </c>
    </row>
    <row r="9" spans="1:8">
      <c r="A9" s="420" t="s">
        <v>562</v>
      </c>
      <c r="B9" s="422">
        <f t="shared" ref="B9:G9" si="1">B10+B11+B12+B13</f>
        <v>32862214</v>
      </c>
      <c r="C9" s="422">
        <f t="shared" si="1"/>
        <v>32862214</v>
      </c>
      <c r="D9" s="422">
        <f t="shared" si="1"/>
        <v>32862214</v>
      </c>
      <c r="E9" s="422">
        <f t="shared" si="1"/>
        <v>32862214</v>
      </c>
      <c r="F9" s="422">
        <f t="shared" si="1"/>
        <v>32862214</v>
      </c>
      <c r="G9" s="422">
        <f t="shared" si="1"/>
        <v>32862214</v>
      </c>
      <c r="H9" s="422">
        <f>H10+H11+H12+H13</f>
        <v>32862214</v>
      </c>
    </row>
    <row r="10" spans="1:8">
      <c r="A10" s="423" t="s">
        <v>563</v>
      </c>
      <c r="B10" s="421">
        <v>7361230</v>
      </c>
      <c r="C10" s="421">
        <v>7361230</v>
      </c>
      <c r="D10" s="421">
        <v>7361230</v>
      </c>
      <c r="E10" s="421">
        <v>7361230</v>
      </c>
      <c r="F10" s="421">
        <v>7361230</v>
      </c>
      <c r="G10" s="421">
        <v>7361230</v>
      </c>
      <c r="H10" s="421">
        <v>7361230</v>
      </c>
    </row>
    <row r="11" spans="1:8">
      <c r="A11" s="423" t="s">
        <v>564</v>
      </c>
      <c r="B11" s="421">
        <v>14400000</v>
      </c>
      <c r="C11" s="421">
        <v>14400000</v>
      </c>
      <c r="D11" s="421">
        <v>14400000</v>
      </c>
      <c r="E11" s="421">
        <v>14400000</v>
      </c>
      <c r="F11" s="421">
        <v>14400000</v>
      </c>
      <c r="G11" s="421">
        <v>14400000</v>
      </c>
      <c r="H11" s="421">
        <v>14400000</v>
      </c>
    </row>
    <row r="12" spans="1:8">
      <c r="A12" s="423" t="s">
        <v>565</v>
      </c>
      <c r="B12" s="421">
        <v>1744044</v>
      </c>
      <c r="C12" s="421">
        <v>1744044</v>
      </c>
      <c r="D12" s="421">
        <v>1744044</v>
      </c>
      <c r="E12" s="421">
        <v>1744044</v>
      </c>
      <c r="F12" s="421">
        <v>1744044</v>
      </c>
      <c r="G12" s="421">
        <v>1744044</v>
      </c>
      <c r="H12" s="421">
        <v>1744044</v>
      </c>
    </row>
    <row r="13" spans="1:8">
      <c r="A13" s="423" t="s">
        <v>566</v>
      </c>
      <c r="B13" s="421">
        <v>9356940</v>
      </c>
      <c r="C13" s="421">
        <v>9356940</v>
      </c>
      <c r="D13" s="421">
        <v>9356940</v>
      </c>
      <c r="E13" s="421">
        <v>9356940</v>
      </c>
      <c r="F13" s="421">
        <v>9356940</v>
      </c>
      <c r="G13" s="421">
        <v>9356940</v>
      </c>
      <c r="H13" s="421">
        <v>9356940</v>
      </c>
    </row>
    <row r="14" spans="1:8">
      <c r="A14" s="420" t="s">
        <v>715</v>
      </c>
      <c r="B14" s="421">
        <v>1041000</v>
      </c>
      <c r="C14" s="421">
        <v>1041000</v>
      </c>
      <c r="D14" s="421">
        <v>1041000</v>
      </c>
      <c r="E14" s="421">
        <v>1041000</v>
      </c>
      <c r="F14" s="421">
        <v>1041000</v>
      </c>
      <c r="G14" s="421">
        <v>1041000</v>
      </c>
      <c r="H14" s="421">
        <v>1041000</v>
      </c>
    </row>
    <row r="15" spans="1:8">
      <c r="A15" s="420" t="s">
        <v>590</v>
      </c>
      <c r="B15" s="421">
        <v>6836400</v>
      </c>
      <c r="C15" s="421">
        <v>6836400</v>
      </c>
      <c r="D15" s="421">
        <v>6836400</v>
      </c>
      <c r="E15" s="421">
        <v>6836400</v>
      </c>
      <c r="F15" s="421">
        <v>6836400</v>
      </c>
      <c r="G15" s="421">
        <v>6836400</v>
      </c>
      <c r="H15" s="421">
        <v>6836400</v>
      </c>
    </row>
    <row r="16" spans="1:8">
      <c r="A16" s="420" t="s">
        <v>577</v>
      </c>
      <c r="B16" s="424">
        <v>28764364</v>
      </c>
      <c r="C16" s="424">
        <v>28764364</v>
      </c>
      <c r="D16" s="424">
        <v>28764364</v>
      </c>
      <c r="E16" s="424">
        <v>28764364</v>
      </c>
      <c r="F16" s="424">
        <v>28764364</v>
      </c>
      <c r="G16" s="424">
        <v>28764364</v>
      </c>
      <c r="H16" s="424">
        <v>28764364</v>
      </c>
    </row>
    <row r="17" spans="1:8">
      <c r="A17" s="420" t="s">
        <v>712</v>
      </c>
      <c r="B17" s="424"/>
      <c r="C17" s="424"/>
      <c r="D17" s="424"/>
      <c r="E17" s="424"/>
      <c r="F17" s="424"/>
      <c r="G17" s="424"/>
      <c r="H17" s="424">
        <v>173484</v>
      </c>
    </row>
    <row r="18" spans="1:8" ht="12.75" customHeight="1">
      <c r="A18" s="425" t="s">
        <v>567</v>
      </c>
      <c r="B18" s="426">
        <f t="shared" ref="B18:G18" si="2">SUM(B19:B20)</f>
        <v>56900500</v>
      </c>
      <c r="C18" s="426">
        <f t="shared" si="2"/>
        <v>56900500</v>
      </c>
      <c r="D18" s="426">
        <f t="shared" si="2"/>
        <v>54085700</v>
      </c>
      <c r="E18" s="426">
        <f t="shared" si="2"/>
        <v>54085700</v>
      </c>
      <c r="F18" s="426">
        <f t="shared" si="2"/>
        <v>54085700</v>
      </c>
      <c r="G18" s="426">
        <f t="shared" si="2"/>
        <v>57292900</v>
      </c>
      <c r="H18" s="426">
        <f>SUM(H19:H20)</f>
        <v>57292900</v>
      </c>
    </row>
    <row r="19" spans="1:8" ht="30">
      <c r="A19" s="420" t="s">
        <v>591</v>
      </c>
      <c r="B19" s="421">
        <v>49465800</v>
      </c>
      <c r="C19" s="421">
        <v>49465800</v>
      </c>
      <c r="D19" s="421">
        <f>49465800-2651400</f>
        <v>46814400</v>
      </c>
      <c r="E19" s="421">
        <f>49465800-2651400</f>
        <v>46814400</v>
      </c>
      <c r="F19" s="421">
        <f>49465800-2651400</f>
        <v>46814400</v>
      </c>
      <c r="G19" s="421">
        <f>49465800-2651400+2798700</f>
        <v>49613100</v>
      </c>
      <c r="H19" s="421">
        <f>49465800-2651400+2798700</f>
        <v>49613100</v>
      </c>
    </row>
    <row r="20" spans="1:8">
      <c r="A20" s="420" t="s">
        <v>568</v>
      </c>
      <c r="B20" s="421">
        <v>7434700</v>
      </c>
      <c r="C20" s="421">
        <v>7434700</v>
      </c>
      <c r="D20" s="421">
        <f>7434700-163400</f>
        <v>7271300</v>
      </c>
      <c r="E20" s="421">
        <f>7434700-163400</f>
        <v>7271300</v>
      </c>
      <c r="F20" s="421">
        <f>7434700-163400</f>
        <v>7271300</v>
      </c>
      <c r="G20" s="421">
        <f>7434700-163400+408500</f>
        <v>7679800</v>
      </c>
      <c r="H20" s="421">
        <f>7434700-163400+408500</f>
        <v>7679800</v>
      </c>
    </row>
    <row r="21" spans="1:8">
      <c r="A21" s="425" t="s">
        <v>593</v>
      </c>
      <c r="B21" s="426">
        <f t="shared" ref="B21:G21" si="3">B22+B23+B24+B25+B26</f>
        <v>40194081</v>
      </c>
      <c r="C21" s="426">
        <f t="shared" si="3"/>
        <v>40194081</v>
      </c>
      <c r="D21" s="426">
        <f t="shared" si="3"/>
        <v>40042081</v>
      </c>
      <c r="E21" s="426">
        <f t="shared" si="3"/>
        <v>40042081</v>
      </c>
      <c r="F21" s="426">
        <f t="shared" si="3"/>
        <v>40042081</v>
      </c>
      <c r="G21" s="426">
        <f t="shared" si="3"/>
        <v>40233721</v>
      </c>
      <c r="H21" s="426">
        <f>H22+H23+H24+H25+H26</f>
        <v>40752031</v>
      </c>
    </row>
    <row r="22" spans="1:8">
      <c r="A22" s="427" t="s">
        <v>569</v>
      </c>
      <c r="B22" s="428">
        <v>17003000</v>
      </c>
      <c r="C22" s="428">
        <v>17003000</v>
      </c>
      <c r="D22" s="428">
        <v>17003000</v>
      </c>
      <c r="E22" s="428">
        <v>17003000</v>
      </c>
      <c r="F22" s="428">
        <v>17003000</v>
      </c>
      <c r="G22" s="428">
        <v>17003000</v>
      </c>
      <c r="H22" s="428">
        <v>17003000</v>
      </c>
    </row>
    <row r="23" spans="1:8">
      <c r="A23" s="429" t="s">
        <v>570</v>
      </c>
      <c r="B23" s="430">
        <v>885760</v>
      </c>
      <c r="C23" s="430">
        <v>885760</v>
      </c>
      <c r="D23" s="430">
        <v>885760</v>
      </c>
      <c r="E23" s="430">
        <v>885760</v>
      </c>
      <c r="F23" s="430">
        <v>885760</v>
      </c>
      <c r="G23" s="430">
        <f>885760-55360</f>
        <v>830400</v>
      </c>
      <c r="H23" s="430">
        <f>885760-55360</f>
        <v>830400</v>
      </c>
    </row>
    <row r="24" spans="1:8">
      <c r="A24" s="420" t="s">
        <v>575</v>
      </c>
      <c r="B24" s="424">
        <v>11780000</v>
      </c>
      <c r="C24" s="424">
        <v>11780000</v>
      </c>
      <c r="D24" s="424">
        <f>11780000-152000</f>
        <v>11628000</v>
      </c>
      <c r="E24" s="424">
        <f>11780000-152000</f>
        <v>11628000</v>
      </c>
      <c r="F24" s="424">
        <f>11780000-152000</f>
        <v>11628000</v>
      </c>
      <c r="G24" s="424">
        <f>11780000-152000+247000</f>
        <v>11875000</v>
      </c>
      <c r="H24" s="424">
        <f>11780000-152000+247000</f>
        <v>11875000</v>
      </c>
    </row>
    <row r="25" spans="1:8">
      <c r="A25" s="420" t="s">
        <v>576</v>
      </c>
      <c r="B25" s="424">
        <v>10525321</v>
      </c>
      <c r="C25" s="424">
        <v>10525321</v>
      </c>
      <c r="D25" s="424">
        <v>10525321</v>
      </c>
      <c r="E25" s="424">
        <v>10525321</v>
      </c>
      <c r="F25" s="424">
        <v>10525321</v>
      </c>
      <c r="G25" s="424">
        <v>10525321</v>
      </c>
      <c r="H25" s="424">
        <f>10525321+518310</f>
        <v>11043631</v>
      </c>
    </row>
    <row r="26" spans="1:8" s="467" customFormat="1">
      <c r="A26" s="465" t="s">
        <v>571</v>
      </c>
      <c r="B26" s="466">
        <f t="shared" ref="B26:G26" si="4">B27+B29+B30+B28</f>
        <v>0</v>
      </c>
      <c r="C26" s="466">
        <f t="shared" si="4"/>
        <v>0</v>
      </c>
      <c r="D26" s="466">
        <f t="shared" si="4"/>
        <v>0</v>
      </c>
      <c r="E26" s="466">
        <f t="shared" si="4"/>
        <v>0</v>
      </c>
      <c r="F26" s="466">
        <f t="shared" si="4"/>
        <v>0</v>
      </c>
      <c r="G26" s="466">
        <f t="shared" si="4"/>
        <v>0</v>
      </c>
      <c r="H26" s="466">
        <f>H27+H29+H30+H28</f>
        <v>0</v>
      </c>
    </row>
    <row r="27" spans="1:8">
      <c r="A27" s="429" t="s">
        <v>572</v>
      </c>
      <c r="B27" s="430"/>
      <c r="C27" s="430"/>
      <c r="D27" s="430"/>
      <c r="E27" s="430"/>
      <c r="F27" s="430"/>
      <c r="G27" s="430"/>
      <c r="H27" s="430"/>
    </row>
    <row r="28" spans="1:8">
      <c r="A28" s="429" t="s">
        <v>573</v>
      </c>
      <c r="B28" s="430"/>
      <c r="C28" s="430"/>
      <c r="D28" s="430"/>
      <c r="E28" s="430"/>
      <c r="F28" s="430"/>
      <c r="G28" s="430"/>
      <c r="H28" s="430"/>
    </row>
    <row r="29" spans="1:8">
      <c r="A29" s="429" t="s">
        <v>574</v>
      </c>
      <c r="B29" s="430"/>
      <c r="C29" s="430"/>
      <c r="D29" s="430"/>
      <c r="E29" s="430"/>
      <c r="F29" s="430"/>
      <c r="G29" s="430"/>
      <c r="H29" s="430"/>
    </row>
    <row r="30" spans="1:8">
      <c r="A30" s="429" t="s">
        <v>589</v>
      </c>
      <c r="B30" s="430"/>
      <c r="C30" s="430"/>
      <c r="D30" s="430"/>
      <c r="E30" s="430"/>
      <c r="F30" s="430"/>
      <c r="G30" s="430"/>
      <c r="H30" s="430"/>
    </row>
    <row r="31" spans="1:8">
      <c r="A31" s="425" t="s">
        <v>594</v>
      </c>
      <c r="B31" s="431">
        <f t="shared" ref="B31:G31" si="5">B32+B33+B34</f>
        <v>3063720</v>
      </c>
      <c r="C31" s="431">
        <f t="shared" si="5"/>
        <v>3344307</v>
      </c>
      <c r="D31" s="431">
        <f t="shared" si="5"/>
        <v>3942952</v>
      </c>
      <c r="E31" s="431">
        <f t="shared" si="5"/>
        <v>3942952</v>
      </c>
      <c r="F31" s="431">
        <f t="shared" si="5"/>
        <v>4224018</v>
      </c>
      <c r="G31" s="431">
        <f t="shared" si="5"/>
        <v>4542651</v>
      </c>
      <c r="H31" s="431">
        <f>H32+H33+H34</f>
        <v>4635145</v>
      </c>
    </row>
    <row r="32" spans="1:8">
      <c r="A32" s="429" t="s">
        <v>592</v>
      </c>
      <c r="B32" s="430">
        <v>3063720</v>
      </c>
      <c r="C32" s="430">
        <v>3063720</v>
      </c>
      <c r="D32" s="430">
        <v>3063720</v>
      </c>
      <c r="E32" s="430">
        <v>3063720</v>
      </c>
      <c r="F32" s="430">
        <v>3063720</v>
      </c>
      <c r="G32" s="430">
        <v>3063720</v>
      </c>
      <c r="H32" s="430">
        <v>3063720</v>
      </c>
    </row>
    <row r="33" spans="1:8">
      <c r="A33" s="429" t="s">
        <v>655</v>
      </c>
      <c r="B33" s="430"/>
      <c r="C33" s="430">
        <f>280587</f>
        <v>280587</v>
      </c>
      <c r="D33" s="430">
        <f>280587+187376</f>
        <v>467963</v>
      </c>
      <c r="E33" s="430">
        <f>280587+187376</f>
        <v>467963</v>
      </c>
      <c r="F33" s="430">
        <f>280587+187376+281066</f>
        <v>749029</v>
      </c>
      <c r="G33" s="430">
        <f>280587+187376+281066+226143+92490</f>
        <v>1067662</v>
      </c>
      <c r="H33" s="430">
        <f>280587+187376+281066+226143+92490+92494</f>
        <v>1160156</v>
      </c>
    </row>
    <row r="34" spans="1:8">
      <c r="A34" s="429" t="s">
        <v>676</v>
      </c>
      <c r="B34" s="430"/>
      <c r="C34" s="430"/>
      <c r="D34" s="430">
        <v>411269</v>
      </c>
      <c r="E34" s="430">
        <v>411269</v>
      </c>
      <c r="F34" s="430">
        <v>411269</v>
      </c>
      <c r="G34" s="430">
        <v>411269</v>
      </c>
      <c r="H34" s="430">
        <v>411269</v>
      </c>
    </row>
    <row r="35" spans="1:8" s="432" customFormat="1" ht="19.5" customHeight="1">
      <c r="A35" s="425" t="s">
        <v>674</v>
      </c>
      <c r="B35" s="431">
        <f>B36+B38+B39+B40+B37+B41+B42</f>
        <v>414400</v>
      </c>
      <c r="C35" s="431">
        <f t="shared" ref="C35:H35" si="6">C36+C38+C39+C40+C37+C41+C42</f>
        <v>655924</v>
      </c>
      <c r="D35" s="431">
        <f t="shared" si="6"/>
        <v>1483054</v>
      </c>
      <c r="E35" s="431">
        <f t="shared" si="6"/>
        <v>23684754</v>
      </c>
      <c r="F35" s="431">
        <f t="shared" si="6"/>
        <v>24809825</v>
      </c>
      <c r="G35" s="431">
        <f t="shared" si="6"/>
        <v>28627552</v>
      </c>
      <c r="H35" s="431">
        <f t="shared" si="6"/>
        <v>28537704</v>
      </c>
    </row>
    <row r="36" spans="1:8">
      <c r="A36" s="420" t="s">
        <v>685</v>
      </c>
      <c r="B36" s="424"/>
      <c r="C36" s="424"/>
      <c r="D36" s="424"/>
      <c r="E36" s="424"/>
      <c r="F36" s="424"/>
      <c r="G36" s="424">
        <v>2324000</v>
      </c>
      <c r="H36" s="424">
        <v>2324000</v>
      </c>
    </row>
    <row r="37" spans="1:8">
      <c r="A37" s="420" t="s">
        <v>747</v>
      </c>
      <c r="B37" s="424"/>
      <c r="C37" s="424"/>
      <c r="D37" s="424">
        <v>533400</v>
      </c>
      <c r="E37" s="424">
        <v>533400</v>
      </c>
      <c r="F37" s="424">
        <v>533400</v>
      </c>
      <c r="G37" s="424">
        <v>533400</v>
      </c>
      <c r="H37" s="424">
        <v>533400</v>
      </c>
    </row>
    <row r="38" spans="1:8">
      <c r="A38" s="420" t="s">
        <v>716</v>
      </c>
      <c r="B38" s="424">
        <v>414400</v>
      </c>
      <c r="C38" s="424">
        <v>414400</v>
      </c>
      <c r="D38" s="424">
        <v>414400</v>
      </c>
      <c r="E38" s="424">
        <v>414400</v>
      </c>
      <c r="F38" s="424">
        <v>414400</v>
      </c>
      <c r="G38" s="424">
        <v>414400</v>
      </c>
      <c r="H38" s="424">
        <v>414400</v>
      </c>
    </row>
    <row r="39" spans="1:8">
      <c r="A39" s="420" t="s">
        <v>578</v>
      </c>
      <c r="B39" s="424"/>
      <c r="C39" s="424">
        <f>241524</f>
        <v>241524</v>
      </c>
      <c r="D39" s="424">
        <f>241524+293730</f>
        <v>535254</v>
      </c>
      <c r="E39" s="424">
        <f>241524+293730</f>
        <v>535254</v>
      </c>
      <c r="F39" s="424">
        <f>241524+293730+585071</f>
        <v>1120325</v>
      </c>
      <c r="G39" s="424">
        <f>241524+293730+585071+291818+145909</f>
        <v>1558052</v>
      </c>
      <c r="H39" s="424">
        <f>241524+293730+585071+291818+145909+51252</f>
        <v>1609304</v>
      </c>
    </row>
    <row r="40" spans="1:8">
      <c r="A40" s="420" t="s">
        <v>673</v>
      </c>
      <c r="B40" s="424"/>
      <c r="C40" s="424"/>
      <c r="D40" s="424"/>
      <c r="E40" s="424">
        <f>19701700+2500000</f>
        <v>22201700</v>
      </c>
      <c r="F40" s="424">
        <f>19701700+2500000</f>
        <v>22201700</v>
      </c>
      <c r="G40" s="424">
        <f>19701700+2500000</f>
        <v>22201700</v>
      </c>
      <c r="H40" s="424">
        <f>19701700+2500000-141100</f>
        <v>22060600</v>
      </c>
    </row>
    <row r="41" spans="1:8" s="400" customFormat="1">
      <c r="A41" s="713" t="s">
        <v>784</v>
      </c>
      <c r="B41" s="714"/>
      <c r="C41" s="714"/>
      <c r="D41" s="714"/>
      <c r="E41" s="714"/>
      <c r="F41" s="714"/>
      <c r="G41" s="714">
        <v>1056000</v>
      </c>
      <c r="H41" s="714">
        <v>1056000</v>
      </c>
    </row>
    <row r="42" spans="1:8">
      <c r="A42" s="420" t="s">
        <v>764</v>
      </c>
      <c r="B42" s="424"/>
      <c r="C42" s="424"/>
      <c r="D42" s="424"/>
      <c r="E42" s="424"/>
      <c r="F42" s="424">
        <v>540000</v>
      </c>
      <c r="G42" s="424">
        <v>540000</v>
      </c>
      <c r="H42" s="424">
        <v>540000</v>
      </c>
    </row>
    <row r="43" spans="1:8">
      <c r="A43" s="425" t="s">
        <v>429</v>
      </c>
      <c r="B43" s="431">
        <f t="shared" ref="B43:H43" si="7">B44</f>
        <v>0</v>
      </c>
      <c r="C43" s="431">
        <f t="shared" si="7"/>
        <v>0</v>
      </c>
      <c r="D43" s="431">
        <f t="shared" si="7"/>
        <v>0</v>
      </c>
      <c r="E43" s="431">
        <f t="shared" si="7"/>
        <v>0</v>
      </c>
      <c r="F43" s="431">
        <f t="shared" si="7"/>
        <v>0</v>
      </c>
      <c r="G43" s="431">
        <f t="shared" si="7"/>
        <v>0</v>
      </c>
      <c r="H43" s="431">
        <f t="shared" si="7"/>
        <v>0</v>
      </c>
    </row>
    <row r="44" spans="1:8">
      <c r="A44" s="420" t="s">
        <v>711</v>
      </c>
      <c r="B44" s="424"/>
      <c r="C44" s="424"/>
      <c r="D44" s="424"/>
      <c r="E44" s="424"/>
      <c r="F44" s="424"/>
      <c r="G44" s="424"/>
      <c r="H44" s="424"/>
    </row>
    <row r="45" spans="1:8">
      <c r="A45" s="425" t="s">
        <v>767</v>
      </c>
      <c r="B45" s="424">
        <f t="shared" ref="B45:H45" si="8">B46</f>
        <v>0</v>
      </c>
      <c r="C45" s="424">
        <f t="shared" si="8"/>
        <v>0</v>
      </c>
      <c r="D45" s="424">
        <f t="shared" si="8"/>
        <v>0</v>
      </c>
      <c r="E45" s="424">
        <f t="shared" si="8"/>
        <v>0</v>
      </c>
      <c r="F45" s="424">
        <f t="shared" si="8"/>
        <v>0</v>
      </c>
      <c r="G45" s="424">
        <f t="shared" si="8"/>
        <v>506728</v>
      </c>
      <c r="H45" s="424">
        <f t="shared" si="8"/>
        <v>506728</v>
      </c>
    </row>
    <row r="46" spans="1:8">
      <c r="A46" s="420" t="s">
        <v>768</v>
      </c>
      <c r="B46" s="424"/>
      <c r="C46" s="424"/>
      <c r="D46" s="424"/>
      <c r="E46" s="424"/>
      <c r="F46" s="424"/>
      <c r="G46" s="424">
        <v>506728</v>
      </c>
      <c r="H46" s="424">
        <v>506728</v>
      </c>
    </row>
    <row r="47" spans="1:8">
      <c r="A47" s="433" t="s">
        <v>50</v>
      </c>
      <c r="B47" s="419">
        <f t="shared" ref="B47:G47" si="9">B7+B18+B21+B31+B35+B43+B45</f>
        <v>218395679</v>
      </c>
      <c r="C47" s="419">
        <f t="shared" si="9"/>
        <v>218917790</v>
      </c>
      <c r="D47" s="419">
        <f t="shared" si="9"/>
        <v>217376765</v>
      </c>
      <c r="E47" s="419">
        <f t="shared" si="9"/>
        <v>239578465</v>
      </c>
      <c r="F47" s="419">
        <f t="shared" si="9"/>
        <v>240984602</v>
      </c>
      <c r="G47" s="419">
        <f t="shared" si="9"/>
        <v>249026530</v>
      </c>
      <c r="H47" s="419">
        <f>H7+H18+H21+H31+H35+H43+H45</f>
        <v>249720970</v>
      </c>
    </row>
  </sheetData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49" orientation="landscape" verticalDpi="300" r:id="rId1"/>
  <headerFooter alignWithMargins="0">
    <oddHeader>&amp;R5. sz. tájékoztató tábla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J25"/>
  <sheetViews>
    <sheetView topLeftCell="A7" zoomScaleNormal="100" workbookViewId="0">
      <selection activeCell="E17" sqref="E17"/>
    </sheetView>
  </sheetViews>
  <sheetFormatPr defaultColWidth="14" defaultRowHeight="15.75"/>
  <cols>
    <col min="1" max="1" width="9.33203125" style="400" bestFit="1" customWidth="1"/>
    <col min="2" max="2" width="73.83203125" style="400" bestFit="1" customWidth="1"/>
    <col min="3" max="3" width="51" style="400" bestFit="1" customWidth="1"/>
    <col min="4" max="10" width="13.33203125" style="400" bestFit="1" customWidth="1"/>
    <col min="11" max="16384" width="14" style="400"/>
  </cols>
  <sheetData>
    <row r="1" spans="1:10" ht="22.5" customHeight="1">
      <c r="A1" s="805" t="s">
        <v>587</v>
      </c>
      <c r="B1" s="805"/>
      <c r="C1" s="805"/>
    </row>
    <row r="2" spans="1:10" ht="17.25" customHeight="1">
      <c r="A2" s="805" t="s">
        <v>713</v>
      </c>
      <c r="B2" s="805"/>
      <c r="C2" s="805"/>
      <c r="D2" s="399"/>
      <c r="E2" s="399"/>
      <c r="F2" s="399"/>
      <c r="G2" s="399"/>
      <c r="H2" s="399"/>
      <c r="I2" s="399"/>
      <c r="J2" s="399"/>
    </row>
    <row r="3" spans="1:10" ht="17.25" customHeight="1">
      <c r="A3" s="399"/>
      <c r="B3" s="399"/>
      <c r="C3" s="399"/>
      <c r="D3" s="399"/>
      <c r="E3" s="399"/>
      <c r="F3" s="399"/>
      <c r="G3" s="399"/>
      <c r="H3" s="399"/>
      <c r="I3" s="399"/>
      <c r="J3" s="399"/>
    </row>
    <row r="4" spans="1:10" ht="16.5" thickBot="1">
      <c r="A4" s="401"/>
      <c r="B4" s="401"/>
      <c r="C4" s="473" t="s">
        <v>588</v>
      </c>
    </row>
    <row r="5" spans="1:10" ht="55.5" customHeight="1">
      <c r="A5" s="402" t="s">
        <v>585</v>
      </c>
      <c r="B5" s="402" t="s">
        <v>122</v>
      </c>
      <c r="C5" s="402" t="s">
        <v>123</v>
      </c>
      <c r="D5" s="403" t="s">
        <v>714</v>
      </c>
      <c r="E5" s="403" t="s">
        <v>741</v>
      </c>
      <c r="F5" s="403" t="s">
        <v>746</v>
      </c>
      <c r="G5" s="403" t="s">
        <v>759</v>
      </c>
      <c r="H5" s="403" t="s">
        <v>763</v>
      </c>
      <c r="I5" s="403" t="s">
        <v>776</v>
      </c>
      <c r="J5" s="403" t="s">
        <v>783</v>
      </c>
    </row>
    <row r="6" spans="1:10" ht="15.95" customHeight="1">
      <c r="A6" s="404" t="s">
        <v>16</v>
      </c>
      <c r="B6" s="405" t="s">
        <v>552</v>
      </c>
      <c r="C6" s="405" t="s">
        <v>580</v>
      </c>
      <c r="D6" s="406">
        <v>100000</v>
      </c>
      <c r="E6" s="406">
        <v>100000</v>
      </c>
      <c r="F6" s="406">
        <v>100000</v>
      </c>
      <c r="G6" s="406">
        <v>100000</v>
      </c>
      <c r="H6" s="406">
        <v>100000</v>
      </c>
      <c r="I6" s="406">
        <v>100000</v>
      </c>
      <c r="J6" s="406">
        <v>100000</v>
      </c>
    </row>
    <row r="7" spans="1:10" ht="15.95" customHeight="1">
      <c r="A7" s="404" t="s">
        <v>17</v>
      </c>
      <c r="B7" s="486" t="s">
        <v>544</v>
      </c>
      <c r="C7" s="486" t="s">
        <v>580</v>
      </c>
      <c r="D7" s="487">
        <v>200000</v>
      </c>
      <c r="E7" s="487">
        <v>200000</v>
      </c>
      <c r="F7" s="487">
        <v>200000</v>
      </c>
      <c r="G7" s="487">
        <v>200000</v>
      </c>
      <c r="H7" s="487">
        <v>200000</v>
      </c>
      <c r="I7" s="487">
        <v>200000</v>
      </c>
      <c r="J7" s="487">
        <v>200000</v>
      </c>
    </row>
    <row r="8" spans="1:10" ht="15.95" customHeight="1">
      <c r="A8" s="404" t="s">
        <v>18</v>
      </c>
      <c r="B8" s="405" t="s">
        <v>545</v>
      </c>
      <c r="C8" s="405" t="s">
        <v>580</v>
      </c>
      <c r="D8" s="406">
        <v>100000</v>
      </c>
      <c r="E8" s="406">
        <v>100000</v>
      </c>
      <c r="F8" s="406">
        <v>100000</v>
      </c>
      <c r="G8" s="406">
        <v>100000</v>
      </c>
      <c r="H8" s="406">
        <v>100000</v>
      </c>
      <c r="I8" s="406">
        <v>100000</v>
      </c>
      <c r="J8" s="406">
        <v>100000</v>
      </c>
    </row>
    <row r="9" spans="1:10" ht="18.75" customHeight="1">
      <c r="A9" s="404" t="s">
        <v>19</v>
      </c>
      <c r="B9" s="407" t="s">
        <v>547</v>
      </c>
      <c r="C9" s="405" t="s">
        <v>580</v>
      </c>
      <c r="D9" s="406">
        <v>1150000</v>
      </c>
      <c r="E9" s="406">
        <v>1150000</v>
      </c>
      <c r="F9" s="406">
        <v>1150000</v>
      </c>
      <c r="G9" s="406">
        <v>1150000</v>
      </c>
      <c r="H9" s="406">
        <v>1150000</v>
      </c>
      <c r="I9" s="406">
        <v>1150000</v>
      </c>
      <c r="J9" s="406">
        <v>1150000</v>
      </c>
    </row>
    <row r="10" spans="1:10" ht="15.95" customHeight="1">
      <c r="A10" s="404" t="s">
        <v>20</v>
      </c>
      <c r="B10" s="405" t="s">
        <v>548</v>
      </c>
      <c r="C10" s="405" t="s">
        <v>580</v>
      </c>
      <c r="D10" s="406">
        <v>200000</v>
      </c>
      <c r="E10" s="406">
        <v>200000</v>
      </c>
      <c r="F10" s="406">
        <v>200000</v>
      </c>
      <c r="G10" s="406">
        <v>200000</v>
      </c>
      <c r="H10" s="406">
        <v>200000</v>
      </c>
      <c r="I10" s="406">
        <v>200000</v>
      </c>
      <c r="J10" s="406">
        <v>200000</v>
      </c>
    </row>
    <row r="11" spans="1:10" ht="15.95" customHeight="1">
      <c r="A11" s="404" t="s">
        <v>21</v>
      </c>
      <c r="B11" s="405" t="s">
        <v>548</v>
      </c>
      <c r="C11" s="405" t="s">
        <v>580</v>
      </c>
      <c r="D11" s="406">
        <v>500000</v>
      </c>
      <c r="E11" s="406">
        <v>500000</v>
      </c>
      <c r="F11" s="406">
        <v>500000</v>
      </c>
      <c r="G11" s="406">
        <v>500000</v>
      </c>
      <c r="H11" s="406">
        <v>500000</v>
      </c>
      <c r="I11" s="406">
        <v>500000</v>
      </c>
      <c r="J11" s="406">
        <v>500000</v>
      </c>
    </row>
    <row r="12" spans="1:10" ht="15.95" customHeight="1">
      <c r="A12" s="404" t="s">
        <v>22</v>
      </c>
      <c r="B12" s="405" t="s">
        <v>656</v>
      </c>
      <c r="C12" s="405" t="s">
        <v>580</v>
      </c>
      <c r="D12" s="406">
        <v>30000</v>
      </c>
      <c r="E12" s="406">
        <v>30000</v>
      </c>
      <c r="F12" s="406">
        <v>30000</v>
      </c>
      <c r="G12" s="406">
        <v>30000</v>
      </c>
      <c r="H12" s="406">
        <v>30000</v>
      </c>
      <c r="I12" s="406">
        <v>30000</v>
      </c>
      <c r="J12" s="406">
        <v>30000</v>
      </c>
    </row>
    <row r="13" spans="1:10" ht="15.95" customHeight="1">
      <c r="A13" s="404" t="s">
        <v>23</v>
      </c>
      <c r="B13" s="405" t="s">
        <v>686</v>
      </c>
      <c r="C13" s="405" t="s">
        <v>580</v>
      </c>
      <c r="D13" s="406">
        <v>100000</v>
      </c>
      <c r="E13" s="406">
        <v>100000</v>
      </c>
      <c r="F13" s="406">
        <v>100000</v>
      </c>
      <c r="G13" s="406">
        <v>100000</v>
      </c>
      <c r="H13" s="406">
        <v>100000</v>
      </c>
      <c r="I13" s="406">
        <v>100000</v>
      </c>
      <c r="J13" s="406">
        <v>100000</v>
      </c>
    </row>
    <row r="14" spans="1:10" ht="15.95" customHeight="1">
      <c r="A14" s="404" t="s">
        <v>24</v>
      </c>
      <c r="B14" s="405" t="s">
        <v>549</v>
      </c>
      <c r="C14" s="405" t="s">
        <v>580</v>
      </c>
      <c r="D14" s="406">
        <v>8200000</v>
      </c>
      <c r="E14" s="406">
        <v>8200000</v>
      </c>
      <c r="F14" s="406">
        <v>8200000</v>
      </c>
      <c r="G14" s="406">
        <v>8200000</v>
      </c>
      <c r="H14" s="406">
        <v>8200000</v>
      </c>
      <c r="I14" s="406">
        <v>8200000</v>
      </c>
      <c r="J14" s="406">
        <f>8200000-578000</f>
        <v>7622000</v>
      </c>
    </row>
    <row r="15" spans="1:10" ht="15.95" customHeight="1">
      <c r="A15" s="404" t="s">
        <v>25</v>
      </c>
      <c r="B15" s="405" t="s">
        <v>550</v>
      </c>
      <c r="C15" s="405" t="s">
        <v>580</v>
      </c>
      <c r="D15" s="406">
        <v>700000</v>
      </c>
      <c r="E15" s="406">
        <v>700000</v>
      </c>
      <c r="F15" s="406">
        <v>700000</v>
      </c>
      <c r="G15" s="406">
        <v>700000</v>
      </c>
      <c r="H15" s="406">
        <v>700000</v>
      </c>
      <c r="I15" s="406">
        <v>700000</v>
      </c>
      <c r="J15" s="406">
        <v>700000</v>
      </c>
    </row>
    <row r="16" spans="1:10" ht="16.5" customHeight="1">
      <c r="A16" s="404" t="s">
        <v>26</v>
      </c>
      <c r="B16" s="405" t="s">
        <v>546</v>
      </c>
      <c r="C16" s="405" t="s">
        <v>580</v>
      </c>
      <c r="D16" s="406">
        <v>750000</v>
      </c>
      <c r="E16" s="406">
        <v>750000</v>
      </c>
      <c r="F16" s="406">
        <v>750000</v>
      </c>
      <c r="G16" s="406">
        <v>750000</v>
      </c>
      <c r="H16" s="406">
        <v>750000</v>
      </c>
      <c r="I16" s="406">
        <v>750000</v>
      </c>
      <c r="J16" s="406">
        <v>750000</v>
      </c>
    </row>
    <row r="17" spans="1:10" ht="15.95" customHeight="1">
      <c r="A17" s="404" t="s">
        <v>27</v>
      </c>
      <c r="B17" s="405" t="s">
        <v>672</v>
      </c>
      <c r="C17" s="405" t="s">
        <v>580</v>
      </c>
      <c r="D17" s="406">
        <v>5600000</v>
      </c>
      <c r="E17" s="406">
        <v>5600000</v>
      </c>
      <c r="F17" s="406">
        <v>5600000</v>
      </c>
      <c r="G17" s="406">
        <v>5600000</v>
      </c>
      <c r="H17" s="406">
        <v>5600000</v>
      </c>
      <c r="I17" s="406">
        <v>5600000</v>
      </c>
      <c r="J17" s="406">
        <v>5600000</v>
      </c>
    </row>
    <row r="18" spans="1:10" ht="15.95" customHeight="1">
      <c r="A18" s="404" t="s">
        <v>28</v>
      </c>
      <c r="B18" s="405" t="s">
        <v>551</v>
      </c>
      <c r="C18" s="405" t="s">
        <v>580</v>
      </c>
      <c r="D18" s="406">
        <v>200000</v>
      </c>
      <c r="E18" s="406">
        <v>200000</v>
      </c>
      <c r="F18" s="406">
        <v>200000</v>
      </c>
      <c r="G18" s="406">
        <v>200000</v>
      </c>
      <c r="H18" s="406">
        <v>200000</v>
      </c>
      <c r="I18" s="406">
        <v>200000</v>
      </c>
      <c r="J18" s="406">
        <v>200000</v>
      </c>
    </row>
    <row r="19" spans="1:10" ht="15.95" customHeight="1">
      <c r="A19" s="404" t="s">
        <v>29</v>
      </c>
      <c r="B19" s="405" t="s">
        <v>637</v>
      </c>
      <c r="C19" s="405" t="s">
        <v>580</v>
      </c>
      <c r="D19" s="406">
        <v>95000</v>
      </c>
      <c r="E19" s="406">
        <v>95000</v>
      </c>
      <c r="F19" s="406">
        <v>95000</v>
      </c>
      <c r="G19" s="406">
        <v>95000</v>
      </c>
      <c r="H19" s="406">
        <v>95000</v>
      </c>
      <c r="I19" s="406">
        <v>95000</v>
      </c>
      <c r="J19" s="406">
        <v>95000</v>
      </c>
    </row>
    <row r="20" spans="1:10" ht="15.95" customHeight="1">
      <c r="A20" s="404" t="s">
        <v>30</v>
      </c>
      <c r="B20" s="405" t="s">
        <v>586</v>
      </c>
      <c r="C20" s="405" t="s">
        <v>580</v>
      </c>
      <c r="D20" s="406">
        <v>1440000</v>
      </c>
      <c r="E20" s="406">
        <v>1440000</v>
      </c>
      <c r="F20" s="406">
        <v>1440000</v>
      </c>
      <c r="G20" s="406">
        <v>1440000</v>
      </c>
      <c r="H20" s="406">
        <v>1440000</v>
      </c>
      <c r="I20" s="406">
        <v>1440000</v>
      </c>
      <c r="J20" s="406">
        <v>1440000</v>
      </c>
    </row>
    <row r="21" spans="1:10" ht="15.95" customHeight="1">
      <c r="A21" s="404" t="s">
        <v>31</v>
      </c>
      <c r="B21" s="405" t="s">
        <v>755</v>
      </c>
      <c r="C21" s="405" t="s">
        <v>580</v>
      </c>
      <c r="D21" s="406"/>
      <c r="E21" s="406"/>
      <c r="F21" s="406">
        <v>30000</v>
      </c>
      <c r="G21" s="406">
        <v>30000</v>
      </c>
      <c r="H21" s="406">
        <v>30000</v>
      </c>
      <c r="I21" s="406">
        <v>30000</v>
      </c>
      <c r="J21" s="406">
        <v>30000</v>
      </c>
    </row>
    <row r="22" spans="1:10" ht="15.95" customHeight="1">
      <c r="A22" s="404" t="s">
        <v>32</v>
      </c>
      <c r="B22" s="405" t="s">
        <v>778</v>
      </c>
      <c r="C22" s="405" t="s">
        <v>779</v>
      </c>
      <c r="D22" s="406"/>
      <c r="E22" s="406"/>
      <c r="F22" s="406"/>
      <c r="G22" s="406"/>
      <c r="H22" s="406"/>
      <c r="I22" s="406">
        <v>50000</v>
      </c>
      <c r="J22" s="406">
        <v>50000</v>
      </c>
    </row>
    <row r="23" spans="1:10" ht="15.95" customHeight="1">
      <c r="A23" s="404" t="s">
        <v>33</v>
      </c>
      <c r="B23" s="405" t="s">
        <v>765</v>
      </c>
      <c r="C23" s="405" t="s">
        <v>766</v>
      </c>
      <c r="D23" s="406"/>
      <c r="E23" s="406"/>
      <c r="F23" s="406"/>
      <c r="G23" s="406"/>
      <c r="H23" s="406">
        <v>50000</v>
      </c>
      <c r="I23" s="406">
        <v>50000</v>
      </c>
      <c r="J23" s="406">
        <v>50000</v>
      </c>
    </row>
    <row r="24" spans="1:10" ht="15.95" customHeight="1" thickBot="1">
      <c r="A24" s="404" t="s">
        <v>34</v>
      </c>
      <c r="B24" s="405" t="s">
        <v>549</v>
      </c>
      <c r="C24" s="405" t="s">
        <v>766</v>
      </c>
      <c r="D24" s="406"/>
      <c r="E24" s="406"/>
      <c r="F24" s="406"/>
      <c r="G24" s="406"/>
      <c r="H24" s="406"/>
      <c r="I24" s="406"/>
      <c r="J24" s="406">
        <v>578000</v>
      </c>
    </row>
    <row r="25" spans="1:10" ht="15.95" customHeight="1" thickBot="1">
      <c r="A25" s="806" t="s">
        <v>50</v>
      </c>
      <c r="B25" s="807"/>
      <c r="C25" s="408"/>
      <c r="D25" s="409">
        <f t="shared" ref="D25:J25" si="0">SUM(D6:D24)</f>
        <v>19365000</v>
      </c>
      <c r="E25" s="409">
        <f t="shared" si="0"/>
        <v>19365000</v>
      </c>
      <c r="F25" s="409">
        <f t="shared" si="0"/>
        <v>19395000</v>
      </c>
      <c r="G25" s="409">
        <f t="shared" si="0"/>
        <v>19395000</v>
      </c>
      <c r="H25" s="409">
        <f t="shared" si="0"/>
        <v>19445000</v>
      </c>
      <c r="I25" s="409">
        <f t="shared" si="0"/>
        <v>19495000</v>
      </c>
      <c r="J25" s="409">
        <f t="shared" si="0"/>
        <v>19495000</v>
      </c>
    </row>
  </sheetData>
  <mergeCells count="3">
    <mergeCell ref="A1:C1"/>
    <mergeCell ref="A25:B25"/>
    <mergeCell ref="A2:C2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0" orientation="landscape" copies="4" r:id="rId1"/>
  <headerFooter alignWithMargins="0">
    <oddHeader>&amp;LVonyarcvashegy Nagyközség Önkormányzata&amp;R&amp;"Times New Roman CE,Félkövér dőlt"&amp;11 6. tájékoztató tábla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zoomScale="120" zoomScaleNormal="120" zoomScaleSheetLayoutView="100" workbookViewId="0">
      <selection activeCell="F9" sqref="F9"/>
    </sheetView>
  </sheetViews>
  <sheetFormatPr defaultRowHeight="15.75"/>
  <cols>
    <col min="1" max="1" width="9" style="36" customWidth="1"/>
    <col min="2" max="2" width="66.33203125" style="36" bestFit="1" customWidth="1"/>
    <col min="3" max="5" width="15.5" style="111" customWidth="1"/>
    <col min="6" max="6" width="9" style="36" customWidth="1"/>
    <col min="7" max="16384" width="9.33203125" style="36"/>
  </cols>
  <sheetData>
    <row r="1" spans="1:5" ht="15.95" customHeight="1">
      <c r="A1" s="735" t="s">
        <v>13</v>
      </c>
      <c r="B1" s="735"/>
      <c r="C1" s="735"/>
      <c r="D1" s="735"/>
      <c r="E1" s="735"/>
    </row>
    <row r="2" spans="1:5" ht="15.95" customHeight="1" thickBot="1">
      <c r="A2" s="734" t="s">
        <v>144</v>
      </c>
      <c r="B2" s="734"/>
    </row>
    <row r="3" spans="1:5" ht="38.1" customHeight="1" thickBot="1">
      <c r="A3" s="38" t="s">
        <v>66</v>
      </c>
      <c r="B3" s="39" t="s">
        <v>15</v>
      </c>
      <c r="C3" s="39" t="s">
        <v>584</v>
      </c>
      <c r="D3" s="39" t="s">
        <v>736</v>
      </c>
      <c r="E3" s="39" t="s">
        <v>737</v>
      </c>
    </row>
    <row r="4" spans="1:5" s="43" customFormat="1" ht="12" customHeight="1" thickBot="1">
      <c r="A4" s="81" t="s">
        <v>485</v>
      </c>
      <c r="B4" s="82" t="s">
        <v>486</v>
      </c>
      <c r="C4" s="82" t="s">
        <v>487</v>
      </c>
      <c r="D4" s="82" t="s">
        <v>487</v>
      </c>
      <c r="E4" s="82" t="s">
        <v>487</v>
      </c>
    </row>
    <row r="5" spans="1:5" s="47" customFormat="1" ht="12" customHeight="1" thickBot="1">
      <c r="A5" s="44" t="s">
        <v>16</v>
      </c>
      <c r="B5" s="45" t="s">
        <v>524</v>
      </c>
      <c r="C5" s="580">
        <f>218395679-414400</f>
        <v>217981279</v>
      </c>
      <c r="D5" s="580">
        <f>218395679-414400</f>
        <v>217981279</v>
      </c>
      <c r="E5" s="580">
        <f>218395679-414400</f>
        <v>217981279</v>
      </c>
    </row>
    <row r="6" spans="1:5" s="47" customFormat="1" ht="12" customHeight="1" thickBot="1">
      <c r="A6" s="44" t="s">
        <v>17</v>
      </c>
      <c r="B6" s="57" t="s">
        <v>372</v>
      </c>
      <c r="C6" s="580">
        <f>73241871-(1418795/2)</f>
        <v>72532473.5</v>
      </c>
      <c r="D6" s="580">
        <f>73241871-1418795</f>
        <v>71823076</v>
      </c>
      <c r="E6" s="580">
        <f>73241871-1418795</f>
        <v>71823076</v>
      </c>
    </row>
    <row r="7" spans="1:5" s="47" customFormat="1" ht="12" customHeight="1" thickBot="1">
      <c r="A7" s="44" t="s">
        <v>18</v>
      </c>
      <c r="B7" s="45" t="s">
        <v>380</v>
      </c>
      <c r="C7" s="580">
        <f>55972518-(45874382/2)-10098136</f>
        <v>22937191</v>
      </c>
      <c r="D7" s="580"/>
      <c r="E7" s="580"/>
    </row>
    <row r="8" spans="1:5" s="47" customFormat="1" ht="12" customHeight="1" thickBot="1">
      <c r="A8" s="44" t="s">
        <v>164</v>
      </c>
      <c r="B8" s="45" t="s">
        <v>258</v>
      </c>
      <c r="C8" s="581">
        <f>+C9+C13+C14+C15</f>
        <v>129930000</v>
      </c>
      <c r="D8" s="581">
        <f>+D9+D13+D14+D15</f>
        <v>129930000</v>
      </c>
      <c r="E8" s="581">
        <f>+E9+E13+E14+E15</f>
        <v>129930000</v>
      </c>
    </row>
    <row r="9" spans="1:5" s="47" customFormat="1" ht="12" customHeight="1">
      <c r="A9" s="48" t="s">
        <v>259</v>
      </c>
      <c r="B9" s="49" t="s">
        <v>435</v>
      </c>
      <c r="C9" s="582">
        <f>+C10+C11+C12</f>
        <v>94400000</v>
      </c>
      <c r="D9" s="582">
        <f>+D10+D11+D12</f>
        <v>94400000</v>
      </c>
      <c r="E9" s="582">
        <f>+E10+E11+E12</f>
        <v>94400000</v>
      </c>
    </row>
    <row r="10" spans="1:5" s="47" customFormat="1" ht="12" customHeight="1">
      <c r="A10" s="51" t="s">
        <v>260</v>
      </c>
      <c r="B10" s="52" t="s">
        <v>265</v>
      </c>
      <c r="C10" s="583">
        <v>56400000</v>
      </c>
      <c r="D10" s="583">
        <v>56400000</v>
      </c>
      <c r="E10" s="583">
        <v>56400000</v>
      </c>
    </row>
    <row r="11" spans="1:5" s="47" customFormat="1" ht="12" customHeight="1">
      <c r="A11" s="51" t="s">
        <v>261</v>
      </c>
      <c r="B11" s="52" t="s">
        <v>266</v>
      </c>
      <c r="C11" s="583"/>
      <c r="D11" s="583"/>
      <c r="E11" s="583"/>
    </row>
    <row r="12" spans="1:5" s="47" customFormat="1" ht="12" customHeight="1">
      <c r="A12" s="51" t="s">
        <v>433</v>
      </c>
      <c r="B12" s="62" t="s">
        <v>434</v>
      </c>
      <c r="C12" s="583">
        <v>38000000</v>
      </c>
      <c r="D12" s="583">
        <v>38000000</v>
      </c>
      <c r="E12" s="583">
        <v>38000000</v>
      </c>
    </row>
    <row r="13" spans="1:5" s="47" customFormat="1" ht="12" customHeight="1">
      <c r="A13" s="51" t="s">
        <v>262</v>
      </c>
      <c r="B13" s="52" t="s">
        <v>267</v>
      </c>
      <c r="C13" s="583">
        <v>7400000</v>
      </c>
      <c r="D13" s="583">
        <v>7400000</v>
      </c>
      <c r="E13" s="583">
        <v>7400000</v>
      </c>
    </row>
    <row r="14" spans="1:5" s="47" customFormat="1" ht="12" customHeight="1">
      <c r="A14" s="51" t="s">
        <v>263</v>
      </c>
      <c r="B14" s="52" t="s">
        <v>268</v>
      </c>
      <c r="C14" s="583">
        <v>27500000</v>
      </c>
      <c r="D14" s="583">
        <v>27500000</v>
      </c>
      <c r="E14" s="583">
        <v>27500000</v>
      </c>
    </row>
    <row r="15" spans="1:5" s="47" customFormat="1" ht="12" customHeight="1" thickBot="1">
      <c r="A15" s="55" t="s">
        <v>264</v>
      </c>
      <c r="B15" s="59" t="s">
        <v>269</v>
      </c>
      <c r="C15" s="584">
        <v>630000</v>
      </c>
      <c r="D15" s="584">
        <v>630000</v>
      </c>
      <c r="E15" s="584">
        <v>630000</v>
      </c>
    </row>
    <row r="16" spans="1:5" s="47" customFormat="1" ht="12" customHeight="1" thickBot="1">
      <c r="A16" s="44" t="s">
        <v>20</v>
      </c>
      <c r="B16" s="45" t="s">
        <v>527</v>
      </c>
      <c r="C16" s="580">
        <v>139882547</v>
      </c>
      <c r="D16" s="580">
        <v>139882547</v>
      </c>
      <c r="E16" s="580">
        <v>139882547</v>
      </c>
    </row>
    <row r="17" spans="1:6" s="47" customFormat="1" ht="12" customHeight="1" thickBot="1">
      <c r="A17" s="44" t="s">
        <v>21</v>
      </c>
      <c r="B17" s="45" t="s">
        <v>10</v>
      </c>
      <c r="C17" s="580">
        <v>100000</v>
      </c>
      <c r="D17" s="580"/>
      <c r="E17" s="580"/>
    </row>
    <row r="18" spans="1:6" s="47" customFormat="1" ht="12" customHeight="1" thickBot="1">
      <c r="A18" s="44" t="s">
        <v>171</v>
      </c>
      <c r="B18" s="45" t="s">
        <v>526</v>
      </c>
      <c r="C18" s="580"/>
      <c r="D18" s="580"/>
      <c r="E18" s="580"/>
    </row>
    <row r="19" spans="1:6" s="47" customFormat="1" ht="12" customHeight="1" thickBot="1">
      <c r="A19" s="44" t="s">
        <v>23</v>
      </c>
      <c r="B19" s="57" t="s">
        <v>525</v>
      </c>
      <c r="C19" s="580"/>
      <c r="D19" s="580"/>
      <c r="E19" s="580"/>
    </row>
    <row r="20" spans="1:6" s="47" customFormat="1" ht="12" customHeight="1" thickBot="1">
      <c r="A20" s="44" t="s">
        <v>24</v>
      </c>
      <c r="B20" s="45" t="s">
        <v>302</v>
      </c>
      <c r="C20" s="581">
        <f>+C5+C6+C7+C8+C16+C17+C18+C19</f>
        <v>583363490.5</v>
      </c>
      <c r="D20" s="581">
        <f>+D5+D6+D7+D8+D16+D17+D18+D19</f>
        <v>559616902</v>
      </c>
      <c r="E20" s="581">
        <f>+E5+E6+E7+E8+E16+E17+E18+E19</f>
        <v>559616902</v>
      </c>
    </row>
    <row r="21" spans="1:6" s="47" customFormat="1" ht="12" customHeight="1" thickBot="1">
      <c r="A21" s="44" t="s">
        <v>25</v>
      </c>
      <c r="B21" s="45" t="s">
        <v>528</v>
      </c>
      <c r="C21" s="585">
        <f>606054429-31000000-2000000-973800-37370113-43811784-66654221-3001184-57527892</f>
        <v>363715435</v>
      </c>
      <c r="D21" s="585">
        <f>606054429-31000000-2000000-973800-37370113-43811784-31000000-66654221-3001184-115055783</f>
        <v>275187544</v>
      </c>
      <c r="E21" s="585">
        <f>606054429-31000000-2000000-973800-37370113-43811784-31000000-66654221-3001184-115055783-57527892</f>
        <v>217659652</v>
      </c>
    </row>
    <row r="22" spans="1:6" s="47" customFormat="1" ht="12" customHeight="1" thickBot="1">
      <c r="A22" s="44" t="s">
        <v>26</v>
      </c>
      <c r="B22" s="45" t="s">
        <v>529</v>
      </c>
      <c r="C22" s="581">
        <f>+C20+C21</f>
        <v>947078925.5</v>
      </c>
      <c r="D22" s="581">
        <f>+D20+D21</f>
        <v>834804446</v>
      </c>
      <c r="E22" s="581">
        <f>+E20+E21</f>
        <v>777276554</v>
      </c>
    </row>
    <row r="23" spans="1:6" s="47" customFormat="1" ht="12" customHeight="1">
      <c r="A23" s="461"/>
      <c r="B23" s="462"/>
      <c r="C23" s="586"/>
      <c r="D23" s="586"/>
      <c r="E23" s="586"/>
    </row>
    <row r="24" spans="1:6" s="47" customFormat="1" ht="12" customHeight="1">
      <c r="A24" s="735" t="s">
        <v>44</v>
      </c>
      <c r="B24" s="735"/>
      <c r="C24" s="735"/>
      <c r="D24" s="735"/>
      <c r="E24" s="735"/>
    </row>
    <row r="25" spans="1:6" s="47" customFormat="1" ht="12" customHeight="1" thickBot="1">
      <c r="A25" s="736" t="s">
        <v>145</v>
      </c>
      <c r="B25" s="736"/>
      <c r="C25" s="111"/>
      <c r="D25" s="111"/>
      <c r="E25" s="111"/>
    </row>
    <row r="26" spans="1:6" s="47" customFormat="1" ht="24" customHeight="1" thickBot="1">
      <c r="A26" s="38" t="s">
        <v>14</v>
      </c>
      <c r="B26" s="39" t="s">
        <v>45</v>
      </c>
      <c r="C26" s="39" t="str">
        <f>+C3</f>
        <v>2019. évi</v>
      </c>
      <c r="D26" s="39" t="str">
        <f>+D3</f>
        <v>2020. évi</v>
      </c>
      <c r="E26" s="39" t="str">
        <f>+E3</f>
        <v>2021. évi</v>
      </c>
      <c r="F26" s="463"/>
    </row>
    <row r="27" spans="1:6" s="47" customFormat="1" ht="12" customHeight="1" thickBot="1">
      <c r="A27" s="40" t="s">
        <v>485</v>
      </c>
      <c r="B27" s="41" t="s">
        <v>486</v>
      </c>
      <c r="C27" s="41" t="s">
        <v>487</v>
      </c>
      <c r="D27" s="41" t="s">
        <v>487</v>
      </c>
      <c r="E27" s="41" t="s">
        <v>487</v>
      </c>
      <c r="F27" s="463"/>
    </row>
    <row r="28" spans="1:6" s="47" customFormat="1" ht="15" customHeight="1" thickBot="1">
      <c r="A28" s="44" t="s">
        <v>16</v>
      </c>
      <c r="B28" s="112" t="s">
        <v>530</v>
      </c>
      <c r="C28" s="580">
        <f>540903557-20000-414400-3500000-(2067949/2)-23512-973800-10098136-1589011-3001184-6305057</f>
        <v>513944482.5</v>
      </c>
      <c r="D28" s="580">
        <f>540903557-20000-414400-3500000-23512-973800-10098136-22937191-100000-1418795-324577-3500000-1589011-3001184-12610114</f>
        <v>480392837</v>
      </c>
      <c r="E28" s="580">
        <f>540903557-20000-414400-3500000-23512-973800-10098136-22937191-100000-1418795-324577-3500000-1589011-3001184-12610114-6305056</f>
        <v>474087781</v>
      </c>
      <c r="F28" s="463"/>
    </row>
    <row r="29" spans="1:6" ht="12" customHeight="1" thickBot="1">
      <c r="A29" s="98" t="s">
        <v>17</v>
      </c>
      <c r="B29" s="464" t="s">
        <v>535</v>
      </c>
      <c r="C29" s="587">
        <f>C30+C31+C32</f>
        <v>263266915</v>
      </c>
      <c r="D29" s="587">
        <f>D30+D31+D32</f>
        <v>184544080</v>
      </c>
      <c r="E29" s="587">
        <f>E30+E31+E32</f>
        <v>133321245</v>
      </c>
    </row>
    <row r="30" spans="1:6" ht="12" customHeight="1">
      <c r="A30" s="48" t="s">
        <v>101</v>
      </c>
      <c r="B30" s="18" t="s">
        <v>219</v>
      </c>
      <c r="C30" s="588">
        <f>369875414-27500000-(6566274/2)-1468488-2500000-65065210-51222835</f>
        <v>218835744</v>
      </c>
      <c r="D30" s="588">
        <f>369875414-27500000-(6566274/2)-1468488-2500000-27500000-65065210-102445670</f>
        <v>140112909</v>
      </c>
      <c r="E30" s="588">
        <f>369875414-27500000-(6566274/2)-1468488-2500000-27500000-65065210-102445670-51222835</f>
        <v>88890074</v>
      </c>
    </row>
    <row r="31" spans="1:6" ht="12" customHeight="1">
      <c r="A31" s="48" t="s">
        <v>102</v>
      </c>
      <c r="B31" s="101" t="s">
        <v>178</v>
      </c>
      <c r="C31" s="583">
        <f>142950545-(57114270/2)+(18455316/2)-508000-34870113-43811784</f>
        <v>44431171</v>
      </c>
      <c r="D31" s="583">
        <f>142950545-(57114270/2)+(18455316/2)-508000-34870113-43811784</f>
        <v>44431171</v>
      </c>
      <c r="E31" s="583">
        <f>142950545-(57114270/2)+(18455316/2)-508000-34870113-43811784</f>
        <v>44431171</v>
      </c>
    </row>
    <row r="32" spans="1:6" ht="12" customHeight="1" thickBot="1">
      <c r="A32" s="48" t="s">
        <v>103</v>
      </c>
      <c r="B32" s="56" t="s">
        <v>222</v>
      </c>
      <c r="C32" s="583"/>
      <c r="D32" s="583"/>
      <c r="E32" s="583"/>
    </row>
    <row r="33" spans="1:6" ht="12" customHeight="1" thickBot="1">
      <c r="A33" s="44" t="s">
        <v>18</v>
      </c>
      <c r="B33" s="21" t="s">
        <v>446</v>
      </c>
      <c r="C33" s="589">
        <f>+C28+C29</f>
        <v>777211397.5</v>
      </c>
      <c r="D33" s="589">
        <f>+D28+D29</f>
        <v>664936917</v>
      </c>
      <c r="E33" s="589">
        <f>+E28+E29</f>
        <v>607409026</v>
      </c>
    </row>
    <row r="34" spans="1:6" ht="15" customHeight="1" thickBot="1">
      <c r="A34" s="44" t="s">
        <v>19</v>
      </c>
      <c r="B34" s="21" t="s">
        <v>531</v>
      </c>
      <c r="C34" s="590">
        <v>169867528</v>
      </c>
      <c r="D34" s="590">
        <v>169867528</v>
      </c>
      <c r="E34" s="590">
        <v>169867528</v>
      </c>
      <c r="F34" s="108"/>
    </row>
    <row r="35" spans="1:6" s="47" customFormat="1" ht="12.95" customHeight="1" thickBot="1">
      <c r="A35" s="109" t="s">
        <v>20</v>
      </c>
      <c r="B35" s="110" t="s">
        <v>532</v>
      </c>
      <c r="C35" s="591">
        <f>+C33+C34</f>
        <v>947078925.5</v>
      </c>
      <c r="D35" s="591">
        <f>+D33+D34</f>
        <v>834804445</v>
      </c>
      <c r="E35" s="591">
        <f>+E33+E34</f>
        <v>777276554</v>
      </c>
    </row>
    <row r="36" spans="1:6">
      <c r="C36" s="36"/>
      <c r="D36" s="36"/>
      <c r="E36" s="36"/>
    </row>
    <row r="37" spans="1:6">
      <c r="C37" s="36"/>
      <c r="D37" s="36"/>
      <c r="E37" s="36"/>
    </row>
    <row r="38" spans="1:6">
      <c r="C38" s="36"/>
      <c r="D38" s="36"/>
      <c r="E38" s="36"/>
    </row>
    <row r="39" spans="1:6" ht="16.5" customHeight="1">
      <c r="C39" s="36"/>
      <c r="D39" s="36"/>
      <c r="E39" s="36"/>
    </row>
    <row r="40" spans="1:6">
      <c r="C40" s="36"/>
      <c r="D40" s="36"/>
      <c r="E40" s="36"/>
    </row>
    <row r="41" spans="1:6">
      <c r="C41" s="36"/>
      <c r="D41" s="36"/>
      <c r="E41" s="36"/>
    </row>
    <row r="42" spans="1:6">
      <c r="C42" s="36"/>
      <c r="D42" s="36"/>
      <c r="E42" s="36"/>
    </row>
    <row r="43" spans="1:6">
      <c r="C43" s="36"/>
      <c r="D43" s="36"/>
      <c r="E43" s="36"/>
    </row>
    <row r="44" spans="1:6">
      <c r="C44" s="36"/>
      <c r="D44" s="36"/>
      <c r="E44" s="36"/>
    </row>
    <row r="45" spans="1:6">
      <c r="C45" s="36"/>
      <c r="D45" s="36"/>
      <c r="E45" s="36"/>
    </row>
    <row r="46" spans="1:6">
      <c r="C46" s="36"/>
      <c r="D46" s="36"/>
      <c r="E46" s="36"/>
    </row>
    <row r="47" spans="1:6">
      <c r="C47" s="36"/>
      <c r="D47" s="36"/>
      <c r="E47" s="36"/>
    </row>
    <row r="48" spans="1:6">
      <c r="C48" s="36"/>
      <c r="D48" s="36"/>
      <c r="E48" s="36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8" fitToWidth="3" fitToHeight="2" orientation="portrait" r:id="rId1"/>
  <headerFooter alignWithMargins="0">
    <oddHeader>&amp;C&amp;"Times New Roman CE,Félkövér"&amp;12Vonyarcvashegy Nagyközség Önkormányzata
2018. ÉVI KÖLTSÉGVETÉSI ÉVET KÖVETŐ 3 ÉV TERVEZETT BEVÉTELEI, KIADÁSAI&amp;R&amp;"Times New Roman CE,Félkövér dőlt"&amp;11 7. számú tájékoztató tábla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I163"/>
  <sheetViews>
    <sheetView view="pageLayout" zoomScaleNormal="100" zoomScaleSheetLayoutView="100" workbookViewId="0">
      <selection activeCell="H9" sqref="H9"/>
    </sheetView>
  </sheetViews>
  <sheetFormatPr defaultRowHeight="15.75"/>
  <cols>
    <col min="1" max="1" width="9.5" style="36" customWidth="1"/>
    <col min="2" max="2" width="91.6640625" style="36" customWidth="1"/>
    <col min="3" max="9" width="21.6640625" style="111" customWidth="1"/>
    <col min="10" max="16384" width="9.33203125" style="36"/>
  </cols>
  <sheetData>
    <row r="1" spans="1:9">
      <c r="B1" s="471" t="s">
        <v>689</v>
      </c>
    </row>
    <row r="2" spans="1:9">
      <c r="B2" s="471" t="s">
        <v>690</v>
      </c>
    </row>
    <row r="3" spans="1:9">
      <c r="B3" s="475" t="s">
        <v>693</v>
      </c>
    </row>
    <row r="5" spans="1:9" ht="15.95" customHeight="1">
      <c r="A5" s="735" t="s">
        <v>13</v>
      </c>
      <c r="B5" s="735"/>
      <c r="C5" s="36"/>
      <c r="D5" s="36"/>
      <c r="E5" s="36"/>
      <c r="F5" s="36"/>
      <c r="G5" s="36"/>
      <c r="H5" s="36"/>
      <c r="I5" s="36"/>
    </row>
    <row r="6" spans="1:9" ht="15.95" customHeight="1" thickBot="1">
      <c r="A6" s="734" t="s">
        <v>144</v>
      </c>
      <c r="B6" s="734"/>
      <c r="C6" s="37" t="s">
        <v>588</v>
      </c>
      <c r="D6" s="37" t="s">
        <v>588</v>
      </c>
      <c r="E6" s="37" t="s">
        <v>588</v>
      </c>
      <c r="F6" s="37" t="s">
        <v>588</v>
      </c>
      <c r="G6" s="37" t="s">
        <v>588</v>
      </c>
      <c r="H6" s="37" t="s">
        <v>588</v>
      </c>
      <c r="I6" s="37" t="s">
        <v>588</v>
      </c>
    </row>
    <row r="7" spans="1:9" ht="38.1" customHeight="1" thickBot="1">
      <c r="A7" s="38" t="s">
        <v>66</v>
      </c>
      <c r="B7" s="39" t="s">
        <v>15</v>
      </c>
      <c r="C7" s="9" t="s">
        <v>687</v>
      </c>
      <c r="D7" s="9" t="s">
        <v>738</v>
      </c>
      <c r="E7" s="9" t="s">
        <v>743</v>
      </c>
      <c r="F7" s="9" t="s">
        <v>758</v>
      </c>
      <c r="G7" s="9" t="s">
        <v>760</v>
      </c>
      <c r="H7" s="9" t="s">
        <v>773</v>
      </c>
      <c r="I7" s="9" t="s">
        <v>780</v>
      </c>
    </row>
    <row r="8" spans="1:9" s="43" customFormat="1" ht="12" customHeight="1" thickBot="1">
      <c r="A8" s="40" t="s">
        <v>485</v>
      </c>
      <c r="B8" s="41" t="s">
        <v>486</v>
      </c>
      <c r="C8" s="42" t="s">
        <v>487</v>
      </c>
      <c r="D8" s="42" t="s">
        <v>487</v>
      </c>
      <c r="E8" s="42" t="s">
        <v>487</v>
      </c>
      <c r="F8" s="42" t="s">
        <v>487</v>
      </c>
      <c r="G8" s="42" t="s">
        <v>487</v>
      </c>
      <c r="H8" s="42" t="s">
        <v>487</v>
      </c>
      <c r="I8" s="42" t="s">
        <v>487</v>
      </c>
    </row>
    <row r="9" spans="1:9" s="47" customFormat="1" ht="12" customHeight="1" thickBot="1">
      <c r="A9" s="44" t="s">
        <v>16</v>
      </c>
      <c r="B9" s="45" t="s">
        <v>243</v>
      </c>
      <c r="C9" s="46">
        <f t="shared" ref="C9:H9" si="0">+C10+C11+C12+C13+C14+C15</f>
        <v>0</v>
      </c>
      <c r="D9" s="46">
        <f t="shared" si="0"/>
        <v>0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6">
        <f>+I10+I11+I12+I13+I14+I15</f>
        <v>0</v>
      </c>
    </row>
    <row r="10" spans="1:9" s="47" customFormat="1" ht="12" customHeight="1">
      <c r="A10" s="48" t="s">
        <v>95</v>
      </c>
      <c r="B10" s="49" t="s">
        <v>244</v>
      </c>
      <c r="C10" s="50"/>
      <c r="D10" s="50"/>
      <c r="E10" s="50"/>
      <c r="F10" s="50"/>
      <c r="G10" s="50"/>
      <c r="H10" s="50"/>
      <c r="I10" s="50"/>
    </row>
    <row r="11" spans="1:9" s="47" customFormat="1" ht="12" customHeight="1">
      <c r="A11" s="51" t="s">
        <v>96</v>
      </c>
      <c r="B11" s="52" t="s">
        <v>245</v>
      </c>
      <c r="C11" s="53"/>
      <c r="D11" s="53"/>
      <c r="E11" s="53"/>
      <c r="F11" s="53"/>
      <c r="G11" s="53"/>
      <c r="H11" s="53"/>
      <c r="I11" s="53"/>
    </row>
    <row r="12" spans="1:9" s="47" customFormat="1" ht="12" customHeight="1">
      <c r="A12" s="51" t="s">
        <v>97</v>
      </c>
      <c r="B12" s="52" t="s">
        <v>246</v>
      </c>
      <c r="C12" s="53"/>
      <c r="D12" s="53"/>
      <c r="E12" s="53"/>
      <c r="F12" s="53"/>
      <c r="G12" s="53"/>
      <c r="H12" s="53"/>
      <c r="I12" s="53"/>
    </row>
    <row r="13" spans="1:9" s="47" customFormat="1" ht="12" customHeight="1">
      <c r="A13" s="51" t="s">
        <v>98</v>
      </c>
      <c r="B13" s="52" t="s">
        <v>247</v>
      </c>
      <c r="C13" s="53"/>
      <c r="D13" s="53"/>
      <c r="E13" s="53"/>
      <c r="F13" s="53"/>
      <c r="G13" s="53"/>
      <c r="H13" s="53"/>
      <c r="I13" s="53"/>
    </row>
    <row r="14" spans="1:9" s="47" customFormat="1" ht="12" customHeight="1">
      <c r="A14" s="51" t="s">
        <v>141</v>
      </c>
      <c r="B14" s="54" t="s">
        <v>428</v>
      </c>
      <c r="C14" s="53"/>
      <c r="D14" s="53"/>
      <c r="E14" s="53"/>
      <c r="F14" s="53"/>
      <c r="G14" s="53"/>
      <c r="H14" s="53"/>
      <c r="I14" s="53"/>
    </row>
    <row r="15" spans="1:9" s="47" customFormat="1" ht="12" customHeight="1" thickBot="1">
      <c r="A15" s="55" t="s">
        <v>99</v>
      </c>
      <c r="B15" s="56" t="s">
        <v>429</v>
      </c>
      <c r="C15" s="53"/>
      <c r="D15" s="53"/>
      <c r="E15" s="53"/>
      <c r="F15" s="53"/>
      <c r="G15" s="53"/>
      <c r="H15" s="53"/>
      <c r="I15" s="53"/>
    </row>
    <row r="16" spans="1:9" s="47" customFormat="1" ht="12" customHeight="1" thickBot="1">
      <c r="A16" s="44" t="s">
        <v>17</v>
      </c>
      <c r="B16" s="57" t="s">
        <v>248</v>
      </c>
      <c r="C16" s="46">
        <f t="shared" ref="C16:H16" si="1">+C17+C18+C19+C20+C21</f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  <c r="H16" s="46">
        <f t="shared" si="1"/>
        <v>0</v>
      </c>
      <c r="I16" s="46">
        <f>+I17+I18+I19+I20+I21</f>
        <v>0</v>
      </c>
    </row>
    <row r="17" spans="1:9" s="47" customFormat="1" ht="12" customHeight="1">
      <c r="A17" s="48" t="s">
        <v>101</v>
      </c>
      <c r="B17" s="49" t="s">
        <v>249</v>
      </c>
      <c r="C17" s="50"/>
      <c r="D17" s="50"/>
      <c r="E17" s="50"/>
      <c r="F17" s="50"/>
      <c r="G17" s="50"/>
      <c r="H17" s="50"/>
      <c r="I17" s="50"/>
    </row>
    <row r="18" spans="1:9" s="47" customFormat="1" ht="12" customHeight="1">
      <c r="A18" s="51" t="s">
        <v>102</v>
      </c>
      <c r="B18" s="52" t="s">
        <v>250</v>
      </c>
      <c r="C18" s="53"/>
      <c r="D18" s="53"/>
      <c r="E18" s="53"/>
      <c r="F18" s="53"/>
      <c r="G18" s="53"/>
      <c r="H18" s="53"/>
      <c r="I18" s="53"/>
    </row>
    <row r="19" spans="1:9" s="47" customFormat="1" ht="12" customHeight="1">
      <c r="A19" s="51" t="s">
        <v>103</v>
      </c>
      <c r="B19" s="52" t="s">
        <v>418</v>
      </c>
      <c r="C19" s="53"/>
      <c r="D19" s="53"/>
      <c r="E19" s="53"/>
      <c r="F19" s="53"/>
      <c r="G19" s="53"/>
      <c r="H19" s="53"/>
      <c r="I19" s="53"/>
    </row>
    <row r="20" spans="1:9" s="47" customFormat="1" ht="12" customHeight="1">
      <c r="A20" s="51" t="s">
        <v>104</v>
      </c>
      <c r="B20" s="52" t="s">
        <v>419</v>
      </c>
      <c r="C20" s="53"/>
      <c r="D20" s="53"/>
      <c r="E20" s="53"/>
      <c r="F20" s="53"/>
      <c r="G20" s="53"/>
      <c r="H20" s="53"/>
      <c r="I20" s="53"/>
    </row>
    <row r="21" spans="1:9" s="47" customFormat="1" ht="12" customHeight="1">
      <c r="A21" s="51" t="s">
        <v>105</v>
      </c>
      <c r="B21" s="52" t="s">
        <v>251</v>
      </c>
      <c r="C21" s="53"/>
      <c r="D21" s="53"/>
      <c r="E21" s="53"/>
      <c r="F21" s="53"/>
      <c r="G21" s="53"/>
      <c r="H21" s="53"/>
      <c r="I21" s="53"/>
    </row>
    <row r="22" spans="1:9" s="47" customFormat="1" ht="12" customHeight="1" thickBot="1">
      <c r="A22" s="55" t="s">
        <v>114</v>
      </c>
      <c r="B22" s="56" t="s">
        <v>252</v>
      </c>
      <c r="C22" s="58"/>
      <c r="D22" s="58"/>
      <c r="E22" s="58"/>
      <c r="F22" s="58"/>
      <c r="G22" s="58"/>
      <c r="H22" s="58"/>
      <c r="I22" s="58"/>
    </row>
    <row r="23" spans="1:9" s="47" customFormat="1" ht="12" customHeight="1" thickBot="1">
      <c r="A23" s="44" t="s">
        <v>18</v>
      </c>
      <c r="B23" s="45" t="s">
        <v>253</v>
      </c>
      <c r="C23" s="46">
        <f t="shared" ref="C23:H23" si="2">+C24+C25+C26+C27+C28</f>
        <v>0</v>
      </c>
      <c r="D23" s="46">
        <f t="shared" si="2"/>
        <v>0</v>
      </c>
      <c r="E23" s="46">
        <f t="shared" si="2"/>
        <v>0</v>
      </c>
      <c r="F23" s="46">
        <f t="shared" si="2"/>
        <v>0</v>
      </c>
      <c r="G23" s="46">
        <f t="shared" si="2"/>
        <v>0</v>
      </c>
      <c r="H23" s="46">
        <f t="shared" si="2"/>
        <v>0</v>
      </c>
      <c r="I23" s="46">
        <f>+I24+I25+I26+I27+I28</f>
        <v>0</v>
      </c>
    </row>
    <row r="24" spans="1:9" s="47" customFormat="1" ht="12" customHeight="1">
      <c r="A24" s="48" t="s">
        <v>84</v>
      </c>
      <c r="B24" s="49" t="s">
        <v>254</v>
      </c>
      <c r="C24" s="50"/>
      <c r="D24" s="50"/>
      <c r="E24" s="50"/>
      <c r="F24" s="50"/>
      <c r="G24" s="50"/>
      <c r="H24" s="50"/>
      <c r="I24" s="50"/>
    </row>
    <row r="25" spans="1:9" s="47" customFormat="1" ht="12" customHeight="1">
      <c r="A25" s="51" t="s">
        <v>85</v>
      </c>
      <c r="B25" s="52" t="s">
        <v>255</v>
      </c>
      <c r="C25" s="53"/>
      <c r="D25" s="53"/>
      <c r="E25" s="53"/>
      <c r="F25" s="53"/>
      <c r="G25" s="53"/>
      <c r="H25" s="53"/>
      <c r="I25" s="53"/>
    </row>
    <row r="26" spans="1:9" s="47" customFormat="1" ht="12" customHeight="1">
      <c r="A26" s="51" t="s">
        <v>86</v>
      </c>
      <c r="B26" s="52" t="s">
        <v>420</v>
      </c>
      <c r="C26" s="53"/>
      <c r="D26" s="53"/>
      <c r="E26" s="53"/>
      <c r="F26" s="53"/>
      <c r="G26" s="53"/>
      <c r="H26" s="53"/>
      <c r="I26" s="53"/>
    </row>
    <row r="27" spans="1:9" s="47" customFormat="1" ht="12" customHeight="1">
      <c r="A27" s="51" t="s">
        <v>87</v>
      </c>
      <c r="B27" s="52" t="s">
        <v>421</v>
      </c>
      <c r="C27" s="53"/>
      <c r="D27" s="53"/>
      <c r="E27" s="53"/>
      <c r="F27" s="53"/>
      <c r="G27" s="53"/>
      <c r="H27" s="53"/>
      <c r="I27" s="53"/>
    </row>
    <row r="28" spans="1:9" s="47" customFormat="1" ht="12" customHeight="1">
      <c r="A28" s="51" t="s">
        <v>162</v>
      </c>
      <c r="B28" s="52" t="s">
        <v>256</v>
      </c>
      <c r="C28" s="53"/>
      <c r="D28" s="53"/>
      <c r="E28" s="53"/>
      <c r="F28" s="53"/>
      <c r="G28" s="53"/>
      <c r="H28" s="53"/>
      <c r="I28" s="53"/>
    </row>
    <row r="29" spans="1:9" s="47" customFormat="1" ht="12" customHeight="1" thickBot="1">
      <c r="A29" s="55" t="s">
        <v>163</v>
      </c>
      <c r="B29" s="59" t="s">
        <v>257</v>
      </c>
      <c r="C29" s="58"/>
      <c r="D29" s="58"/>
      <c r="E29" s="58"/>
      <c r="F29" s="58"/>
      <c r="G29" s="58"/>
      <c r="H29" s="58"/>
      <c r="I29" s="58"/>
    </row>
    <row r="30" spans="1:9" s="47" customFormat="1" ht="12" customHeight="1" thickBot="1">
      <c r="A30" s="44" t="s">
        <v>164</v>
      </c>
      <c r="B30" s="45" t="s">
        <v>258</v>
      </c>
      <c r="C30" s="60">
        <f t="shared" ref="C30:H30" si="3">+C31+C35+C36+C37</f>
        <v>0</v>
      </c>
      <c r="D30" s="60">
        <f t="shared" si="3"/>
        <v>0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0">
        <f>+I31+I35+I36+I37</f>
        <v>0</v>
      </c>
    </row>
    <row r="31" spans="1:9" s="47" customFormat="1" ht="12" customHeight="1">
      <c r="A31" s="48" t="s">
        <v>259</v>
      </c>
      <c r="B31" s="49" t="s">
        <v>435</v>
      </c>
      <c r="C31" s="61">
        <f t="shared" ref="C31:H31" si="4">+C32+C33+C34</f>
        <v>0</v>
      </c>
      <c r="D31" s="61">
        <f t="shared" si="4"/>
        <v>0</v>
      </c>
      <c r="E31" s="61">
        <f t="shared" si="4"/>
        <v>0</v>
      </c>
      <c r="F31" s="61">
        <f t="shared" si="4"/>
        <v>0</v>
      </c>
      <c r="G31" s="61">
        <f t="shared" si="4"/>
        <v>0</v>
      </c>
      <c r="H31" s="61">
        <f t="shared" si="4"/>
        <v>0</v>
      </c>
      <c r="I31" s="61">
        <f>+I32+I33+I34</f>
        <v>0</v>
      </c>
    </row>
    <row r="32" spans="1:9" s="47" customFormat="1" ht="12" customHeight="1">
      <c r="A32" s="51" t="s">
        <v>260</v>
      </c>
      <c r="B32" s="52" t="s">
        <v>265</v>
      </c>
      <c r="C32" s="53"/>
      <c r="D32" s="53"/>
      <c r="E32" s="53"/>
      <c r="F32" s="53"/>
      <c r="G32" s="53"/>
      <c r="H32" s="53"/>
      <c r="I32" s="53"/>
    </row>
    <row r="33" spans="1:9" s="47" customFormat="1" ht="12" customHeight="1">
      <c r="A33" s="51" t="s">
        <v>261</v>
      </c>
      <c r="B33" s="52" t="s">
        <v>266</v>
      </c>
      <c r="C33" s="53"/>
      <c r="D33" s="53"/>
      <c r="E33" s="53"/>
      <c r="F33" s="53"/>
      <c r="G33" s="53"/>
      <c r="H33" s="53"/>
      <c r="I33" s="53"/>
    </row>
    <row r="34" spans="1:9" s="47" customFormat="1" ht="12" customHeight="1">
      <c r="A34" s="51" t="s">
        <v>433</v>
      </c>
      <c r="B34" s="62" t="s">
        <v>434</v>
      </c>
      <c r="C34" s="53"/>
      <c r="D34" s="53"/>
      <c r="E34" s="53"/>
      <c r="F34" s="53"/>
      <c r="G34" s="53"/>
      <c r="H34" s="53"/>
      <c r="I34" s="53"/>
    </row>
    <row r="35" spans="1:9" s="47" customFormat="1" ht="12" customHeight="1">
      <c r="A35" s="51" t="s">
        <v>262</v>
      </c>
      <c r="B35" s="52" t="s">
        <v>267</v>
      </c>
      <c r="C35" s="53"/>
      <c r="D35" s="53"/>
      <c r="E35" s="53"/>
      <c r="F35" s="53"/>
      <c r="G35" s="53"/>
      <c r="H35" s="53"/>
      <c r="I35" s="53"/>
    </row>
    <row r="36" spans="1:9" s="47" customFormat="1" ht="12" customHeight="1">
      <c r="A36" s="51" t="s">
        <v>263</v>
      </c>
      <c r="B36" s="52" t="s">
        <v>268</v>
      </c>
      <c r="C36" s="53"/>
      <c r="D36" s="53"/>
      <c r="E36" s="53"/>
      <c r="F36" s="53"/>
      <c r="G36" s="53"/>
      <c r="H36" s="53"/>
      <c r="I36" s="53"/>
    </row>
    <row r="37" spans="1:9" s="47" customFormat="1" ht="12" customHeight="1" thickBot="1">
      <c r="A37" s="55" t="s">
        <v>264</v>
      </c>
      <c r="B37" s="59" t="s">
        <v>269</v>
      </c>
      <c r="C37" s="58"/>
      <c r="D37" s="58"/>
      <c r="E37" s="58"/>
      <c r="F37" s="58"/>
      <c r="G37" s="58"/>
      <c r="H37" s="58"/>
      <c r="I37" s="58"/>
    </row>
    <row r="38" spans="1:9" s="47" customFormat="1" ht="12" customHeight="1" thickBot="1">
      <c r="A38" s="44" t="s">
        <v>20</v>
      </c>
      <c r="B38" s="45" t="s">
        <v>430</v>
      </c>
      <c r="C38" s="46">
        <f t="shared" ref="C38:H38" si="5">SUM(C39:C49)</f>
        <v>0</v>
      </c>
      <c r="D38" s="46">
        <f t="shared" si="5"/>
        <v>0</v>
      </c>
      <c r="E38" s="46">
        <f t="shared" si="5"/>
        <v>0</v>
      </c>
      <c r="F38" s="46">
        <f t="shared" si="5"/>
        <v>0</v>
      </c>
      <c r="G38" s="46">
        <f t="shared" si="5"/>
        <v>0</v>
      </c>
      <c r="H38" s="46">
        <f t="shared" si="5"/>
        <v>0</v>
      </c>
      <c r="I38" s="46">
        <f>SUM(I39:I49)</f>
        <v>0</v>
      </c>
    </row>
    <row r="39" spans="1:9" s="47" customFormat="1" ht="12" customHeight="1">
      <c r="A39" s="48" t="s">
        <v>88</v>
      </c>
      <c r="B39" s="49" t="s">
        <v>272</v>
      </c>
      <c r="C39" s="50"/>
      <c r="D39" s="50"/>
      <c r="E39" s="50"/>
      <c r="F39" s="50"/>
      <c r="G39" s="50"/>
      <c r="H39" s="50"/>
      <c r="I39" s="50"/>
    </row>
    <row r="40" spans="1:9" s="47" customFormat="1" ht="12" customHeight="1">
      <c r="A40" s="51" t="s">
        <v>89</v>
      </c>
      <c r="B40" s="52" t="s">
        <v>273</v>
      </c>
      <c r="C40" s="53"/>
      <c r="D40" s="53"/>
      <c r="E40" s="53"/>
      <c r="F40" s="53"/>
      <c r="G40" s="53"/>
      <c r="H40" s="53"/>
      <c r="I40" s="53"/>
    </row>
    <row r="41" spans="1:9" s="47" customFormat="1" ht="12" customHeight="1">
      <c r="A41" s="51" t="s">
        <v>90</v>
      </c>
      <c r="B41" s="52" t="s">
        <v>274</v>
      </c>
      <c r="C41" s="53"/>
      <c r="D41" s="53"/>
      <c r="E41" s="53"/>
      <c r="F41" s="53"/>
      <c r="G41" s="53"/>
      <c r="H41" s="53"/>
      <c r="I41" s="53"/>
    </row>
    <row r="42" spans="1:9" s="47" customFormat="1" ht="12" customHeight="1">
      <c r="A42" s="51" t="s">
        <v>166</v>
      </c>
      <c r="B42" s="52" t="s">
        <v>275</v>
      </c>
      <c r="C42" s="53"/>
      <c r="D42" s="53"/>
      <c r="E42" s="53"/>
      <c r="F42" s="53"/>
      <c r="G42" s="53"/>
      <c r="H42" s="53"/>
      <c r="I42" s="53"/>
    </row>
    <row r="43" spans="1:9" s="47" customFormat="1" ht="12" customHeight="1">
      <c r="A43" s="51" t="s">
        <v>167</v>
      </c>
      <c r="B43" s="52" t="s">
        <v>276</v>
      </c>
      <c r="C43" s="53"/>
      <c r="D43" s="53"/>
      <c r="E43" s="53"/>
      <c r="F43" s="53"/>
      <c r="G43" s="53"/>
      <c r="H43" s="53"/>
      <c r="I43" s="53"/>
    </row>
    <row r="44" spans="1:9" s="47" customFormat="1" ht="12" customHeight="1">
      <c r="A44" s="51" t="s">
        <v>168</v>
      </c>
      <c r="B44" s="52" t="s">
        <v>277</v>
      </c>
      <c r="C44" s="53"/>
      <c r="D44" s="53"/>
      <c r="E44" s="53"/>
      <c r="F44" s="53"/>
      <c r="G44" s="53"/>
      <c r="H44" s="53"/>
      <c r="I44" s="53"/>
    </row>
    <row r="45" spans="1:9" s="47" customFormat="1" ht="12" customHeight="1">
      <c r="A45" s="51" t="s">
        <v>169</v>
      </c>
      <c r="B45" s="52" t="s">
        <v>278</v>
      </c>
      <c r="C45" s="53"/>
      <c r="D45" s="53"/>
      <c r="E45" s="53"/>
      <c r="F45" s="53"/>
      <c r="G45" s="53"/>
      <c r="H45" s="53"/>
      <c r="I45" s="53"/>
    </row>
    <row r="46" spans="1:9" s="47" customFormat="1" ht="12" customHeight="1">
      <c r="A46" s="51" t="s">
        <v>170</v>
      </c>
      <c r="B46" s="52" t="s">
        <v>279</v>
      </c>
      <c r="C46" s="53"/>
      <c r="D46" s="53"/>
      <c r="E46" s="53"/>
      <c r="F46" s="53"/>
      <c r="G46" s="53"/>
      <c r="H46" s="53"/>
      <c r="I46" s="53"/>
    </row>
    <row r="47" spans="1:9" s="47" customFormat="1" ht="12" customHeight="1">
      <c r="A47" s="51" t="s">
        <v>270</v>
      </c>
      <c r="B47" s="52" t="s">
        <v>280</v>
      </c>
      <c r="C47" s="63"/>
      <c r="D47" s="63"/>
      <c r="E47" s="63"/>
      <c r="F47" s="63"/>
      <c r="G47" s="63"/>
      <c r="H47" s="63"/>
      <c r="I47" s="63"/>
    </row>
    <row r="48" spans="1:9" s="47" customFormat="1" ht="12" customHeight="1">
      <c r="A48" s="55" t="s">
        <v>271</v>
      </c>
      <c r="B48" s="59" t="s">
        <v>432</v>
      </c>
      <c r="C48" s="64"/>
      <c r="D48" s="64"/>
      <c r="E48" s="64"/>
      <c r="F48" s="64"/>
      <c r="G48" s="64"/>
      <c r="H48" s="64"/>
      <c r="I48" s="64"/>
    </row>
    <row r="49" spans="1:9" s="47" customFormat="1" ht="12" customHeight="1" thickBot="1">
      <c r="A49" s="55" t="s">
        <v>431</v>
      </c>
      <c r="B49" s="56" t="s">
        <v>281</v>
      </c>
      <c r="C49" s="64"/>
      <c r="D49" s="64"/>
      <c r="E49" s="64"/>
      <c r="F49" s="64"/>
      <c r="G49" s="64"/>
      <c r="H49" s="64"/>
      <c r="I49" s="64"/>
    </row>
    <row r="50" spans="1:9" s="47" customFormat="1" ht="12" customHeight="1" thickBot="1">
      <c r="A50" s="44" t="s">
        <v>21</v>
      </c>
      <c r="B50" s="45" t="s">
        <v>282</v>
      </c>
      <c r="C50" s="46">
        <f t="shared" ref="C50:H50" si="6">SUM(C51:C55)</f>
        <v>0</v>
      </c>
      <c r="D50" s="46">
        <f t="shared" si="6"/>
        <v>0</v>
      </c>
      <c r="E50" s="46">
        <f t="shared" si="6"/>
        <v>0</v>
      </c>
      <c r="F50" s="46">
        <f t="shared" si="6"/>
        <v>0</v>
      </c>
      <c r="G50" s="46">
        <f t="shared" si="6"/>
        <v>0</v>
      </c>
      <c r="H50" s="46">
        <f t="shared" si="6"/>
        <v>0</v>
      </c>
      <c r="I50" s="46">
        <f>SUM(I51:I55)</f>
        <v>0</v>
      </c>
    </row>
    <row r="51" spans="1:9" s="47" customFormat="1" ht="12" customHeight="1">
      <c r="A51" s="48" t="s">
        <v>91</v>
      </c>
      <c r="B51" s="49" t="s">
        <v>286</v>
      </c>
      <c r="C51" s="65"/>
      <c r="D51" s="65"/>
      <c r="E51" s="65"/>
      <c r="F51" s="65"/>
      <c r="G51" s="65"/>
      <c r="H51" s="65"/>
      <c r="I51" s="65"/>
    </row>
    <row r="52" spans="1:9" s="47" customFormat="1" ht="12" customHeight="1">
      <c r="A52" s="51" t="s">
        <v>92</v>
      </c>
      <c r="B52" s="52" t="s">
        <v>287</v>
      </c>
      <c r="C52" s="63"/>
      <c r="D52" s="63"/>
      <c r="E52" s="63"/>
      <c r="F52" s="63"/>
      <c r="G52" s="63"/>
      <c r="H52" s="63"/>
      <c r="I52" s="63"/>
    </row>
    <row r="53" spans="1:9" s="47" customFormat="1" ht="12" customHeight="1">
      <c r="A53" s="51" t="s">
        <v>283</v>
      </c>
      <c r="B53" s="52" t="s">
        <v>288</v>
      </c>
      <c r="C53" s="63"/>
      <c r="D53" s="63"/>
      <c r="E53" s="63"/>
      <c r="F53" s="63"/>
      <c r="G53" s="63"/>
      <c r="H53" s="63"/>
      <c r="I53" s="63"/>
    </row>
    <row r="54" spans="1:9" s="47" customFormat="1" ht="12" customHeight="1">
      <c r="A54" s="51" t="s">
        <v>284</v>
      </c>
      <c r="B54" s="52" t="s">
        <v>289</v>
      </c>
      <c r="C54" s="63"/>
      <c r="D54" s="63"/>
      <c r="E54" s="63"/>
      <c r="F54" s="63"/>
      <c r="G54" s="63"/>
      <c r="H54" s="63"/>
      <c r="I54" s="63"/>
    </row>
    <row r="55" spans="1:9" s="47" customFormat="1" ht="12" customHeight="1" thickBot="1">
      <c r="A55" s="55" t="s">
        <v>285</v>
      </c>
      <c r="B55" s="56" t="s">
        <v>290</v>
      </c>
      <c r="C55" s="64"/>
      <c r="D55" s="64"/>
      <c r="E55" s="64"/>
      <c r="F55" s="64"/>
      <c r="G55" s="64"/>
      <c r="H55" s="64"/>
      <c r="I55" s="64"/>
    </row>
    <row r="56" spans="1:9" s="47" customFormat="1" ht="12" customHeight="1" thickBot="1">
      <c r="A56" s="44" t="s">
        <v>171</v>
      </c>
      <c r="B56" s="45" t="s">
        <v>291</v>
      </c>
      <c r="C56" s="46">
        <f t="shared" ref="C56:H56" si="7">SUM(C57:C59)</f>
        <v>0</v>
      </c>
      <c r="D56" s="46">
        <f t="shared" si="7"/>
        <v>0</v>
      </c>
      <c r="E56" s="46">
        <f t="shared" si="7"/>
        <v>0</v>
      </c>
      <c r="F56" s="46">
        <f t="shared" si="7"/>
        <v>0</v>
      </c>
      <c r="G56" s="46">
        <f t="shared" si="7"/>
        <v>0</v>
      </c>
      <c r="H56" s="46">
        <f t="shared" si="7"/>
        <v>0</v>
      </c>
      <c r="I56" s="46">
        <f>SUM(I57:I59)</f>
        <v>0</v>
      </c>
    </row>
    <row r="57" spans="1:9" s="47" customFormat="1" ht="12" customHeight="1">
      <c r="A57" s="48" t="s">
        <v>93</v>
      </c>
      <c r="B57" s="49" t="s">
        <v>292</v>
      </c>
      <c r="C57" s="50"/>
      <c r="D57" s="50"/>
      <c r="E57" s="50"/>
      <c r="F57" s="50"/>
      <c r="G57" s="50"/>
      <c r="H57" s="50"/>
      <c r="I57" s="50"/>
    </row>
    <row r="58" spans="1:9" s="47" customFormat="1" ht="12" customHeight="1">
      <c r="A58" s="51" t="s">
        <v>94</v>
      </c>
      <c r="B58" s="52" t="s">
        <v>422</v>
      </c>
      <c r="C58" s="53"/>
      <c r="D58" s="53"/>
      <c r="E58" s="53"/>
      <c r="F58" s="53"/>
      <c r="G58" s="53"/>
      <c r="H58" s="53"/>
      <c r="I58" s="53"/>
    </row>
    <row r="59" spans="1:9" s="47" customFormat="1" ht="12" customHeight="1">
      <c r="A59" s="51" t="s">
        <v>295</v>
      </c>
      <c r="B59" s="52" t="s">
        <v>293</v>
      </c>
      <c r="C59" s="53"/>
      <c r="D59" s="53"/>
      <c r="E59" s="53"/>
      <c r="F59" s="53"/>
      <c r="G59" s="53"/>
      <c r="H59" s="53"/>
      <c r="I59" s="53"/>
    </row>
    <row r="60" spans="1:9" s="47" customFormat="1" ht="12" customHeight="1" thickBot="1">
      <c r="A60" s="55" t="s">
        <v>296</v>
      </c>
      <c r="B60" s="56" t="s">
        <v>294</v>
      </c>
      <c r="C60" s="58"/>
      <c r="D60" s="58"/>
      <c r="E60" s="58"/>
      <c r="F60" s="58"/>
      <c r="G60" s="58"/>
      <c r="H60" s="58"/>
      <c r="I60" s="58"/>
    </row>
    <row r="61" spans="1:9" s="47" customFormat="1" ht="12" customHeight="1" thickBot="1">
      <c r="A61" s="44" t="s">
        <v>23</v>
      </c>
      <c r="B61" s="57" t="s">
        <v>297</v>
      </c>
      <c r="C61" s="46">
        <f t="shared" ref="C61:H61" si="8">SUM(C62:C64)</f>
        <v>0</v>
      </c>
      <c r="D61" s="46">
        <f t="shared" si="8"/>
        <v>0</v>
      </c>
      <c r="E61" s="46">
        <f t="shared" si="8"/>
        <v>0</v>
      </c>
      <c r="F61" s="46">
        <f t="shared" si="8"/>
        <v>0</v>
      </c>
      <c r="G61" s="46">
        <f t="shared" si="8"/>
        <v>0</v>
      </c>
      <c r="H61" s="46">
        <f t="shared" si="8"/>
        <v>0</v>
      </c>
      <c r="I61" s="46">
        <f>SUM(I62:I64)</f>
        <v>0</v>
      </c>
    </row>
    <row r="62" spans="1:9" s="47" customFormat="1" ht="12" customHeight="1">
      <c r="A62" s="48" t="s">
        <v>172</v>
      </c>
      <c r="B62" s="49" t="s">
        <v>299</v>
      </c>
      <c r="C62" s="63"/>
      <c r="D62" s="63"/>
      <c r="E62" s="63"/>
      <c r="F62" s="63"/>
      <c r="G62" s="63"/>
      <c r="H62" s="63"/>
      <c r="I62" s="63"/>
    </row>
    <row r="63" spans="1:9" s="47" customFormat="1" ht="12" customHeight="1">
      <c r="A63" s="51" t="s">
        <v>173</v>
      </c>
      <c r="B63" s="52" t="s">
        <v>423</v>
      </c>
      <c r="C63" s="63"/>
      <c r="D63" s="63"/>
      <c r="E63" s="63"/>
      <c r="F63" s="63"/>
      <c r="G63" s="63"/>
      <c r="H63" s="63"/>
      <c r="I63" s="63"/>
    </row>
    <row r="64" spans="1:9" s="47" customFormat="1" ht="12" customHeight="1">
      <c r="A64" s="51" t="s">
        <v>221</v>
      </c>
      <c r="B64" s="52" t="s">
        <v>300</v>
      </c>
      <c r="C64" s="63"/>
      <c r="D64" s="63"/>
      <c r="E64" s="63"/>
      <c r="F64" s="63"/>
      <c r="G64" s="63"/>
      <c r="H64" s="63"/>
      <c r="I64" s="63"/>
    </row>
    <row r="65" spans="1:9" s="47" customFormat="1" ht="12" customHeight="1" thickBot="1">
      <c r="A65" s="55" t="s">
        <v>298</v>
      </c>
      <c r="B65" s="56" t="s">
        <v>301</v>
      </c>
      <c r="C65" s="63"/>
      <c r="D65" s="63"/>
      <c r="E65" s="63"/>
      <c r="F65" s="63"/>
      <c r="G65" s="63"/>
      <c r="H65" s="63"/>
      <c r="I65" s="63"/>
    </row>
    <row r="66" spans="1:9" s="47" customFormat="1" ht="12" customHeight="1" thickBot="1">
      <c r="A66" s="66" t="s">
        <v>474</v>
      </c>
      <c r="B66" s="45" t="s">
        <v>302</v>
      </c>
      <c r="C66" s="60">
        <f t="shared" ref="C66:H66" si="9">+C9+C16+C23+C30+C38+C50+C56+C61</f>
        <v>0</v>
      </c>
      <c r="D66" s="60">
        <f t="shared" si="9"/>
        <v>0</v>
      </c>
      <c r="E66" s="60">
        <f t="shared" si="9"/>
        <v>0</v>
      </c>
      <c r="F66" s="60">
        <f t="shared" si="9"/>
        <v>0</v>
      </c>
      <c r="G66" s="60">
        <f t="shared" si="9"/>
        <v>0</v>
      </c>
      <c r="H66" s="60">
        <f t="shared" si="9"/>
        <v>0</v>
      </c>
      <c r="I66" s="60">
        <f>+I9+I16+I23+I30+I38+I50+I56+I61</f>
        <v>0</v>
      </c>
    </row>
    <row r="67" spans="1:9" s="47" customFormat="1" ht="12" customHeight="1" thickBot="1">
      <c r="A67" s="67" t="s">
        <v>303</v>
      </c>
      <c r="B67" s="57" t="s">
        <v>304</v>
      </c>
      <c r="C67" s="46">
        <f t="shared" ref="C67:H67" si="10">SUM(C68:C70)</f>
        <v>0</v>
      </c>
      <c r="D67" s="46">
        <f t="shared" si="10"/>
        <v>0</v>
      </c>
      <c r="E67" s="46">
        <f t="shared" si="10"/>
        <v>0</v>
      </c>
      <c r="F67" s="46">
        <f t="shared" si="10"/>
        <v>0</v>
      </c>
      <c r="G67" s="46">
        <f t="shared" si="10"/>
        <v>0</v>
      </c>
      <c r="H67" s="46">
        <f t="shared" si="10"/>
        <v>0</v>
      </c>
      <c r="I67" s="46">
        <f>SUM(I68:I70)</f>
        <v>0</v>
      </c>
    </row>
    <row r="68" spans="1:9" s="47" customFormat="1" ht="12" customHeight="1">
      <c r="A68" s="48" t="s">
        <v>335</v>
      </c>
      <c r="B68" s="49" t="s">
        <v>305</v>
      </c>
      <c r="C68" s="63"/>
      <c r="D68" s="63"/>
      <c r="E68" s="63"/>
      <c r="F68" s="63"/>
      <c r="G68" s="63"/>
      <c r="H68" s="63"/>
      <c r="I68" s="63"/>
    </row>
    <row r="69" spans="1:9" s="47" customFormat="1" ht="12" customHeight="1">
      <c r="A69" s="51" t="s">
        <v>344</v>
      </c>
      <c r="B69" s="52" t="s">
        <v>306</v>
      </c>
      <c r="C69" s="63"/>
      <c r="D69" s="63"/>
      <c r="E69" s="63"/>
      <c r="F69" s="63"/>
      <c r="G69" s="63"/>
      <c r="H69" s="63"/>
      <c r="I69" s="63"/>
    </row>
    <row r="70" spans="1:9" s="47" customFormat="1" ht="12" customHeight="1" thickBot="1">
      <c r="A70" s="55" t="s">
        <v>345</v>
      </c>
      <c r="B70" s="68" t="s">
        <v>459</v>
      </c>
      <c r="C70" s="63"/>
      <c r="D70" s="63"/>
      <c r="E70" s="63"/>
      <c r="F70" s="63"/>
      <c r="G70" s="63"/>
      <c r="H70" s="63"/>
      <c r="I70" s="63"/>
    </row>
    <row r="71" spans="1:9" s="47" customFormat="1" ht="12" customHeight="1" thickBot="1">
      <c r="A71" s="67" t="s">
        <v>308</v>
      </c>
      <c r="B71" s="57" t="s">
        <v>309</v>
      </c>
      <c r="C71" s="46">
        <f t="shared" ref="C71:H71" si="11">SUM(C72:C75)</f>
        <v>0</v>
      </c>
      <c r="D71" s="46">
        <f t="shared" si="11"/>
        <v>0</v>
      </c>
      <c r="E71" s="46">
        <f t="shared" si="11"/>
        <v>0</v>
      </c>
      <c r="F71" s="46">
        <f t="shared" si="11"/>
        <v>0</v>
      </c>
      <c r="G71" s="46">
        <f t="shared" si="11"/>
        <v>0</v>
      </c>
      <c r="H71" s="46">
        <f t="shared" si="11"/>
        <v>0</v>
      </c>
      <c r="I71" s="46">
        <f>SUM(I72:I75)</f>
        <v>0</v>
      </c>
    </row>
    <row r="72" spans="1:9" s="47" customFormat="1" ht="12" customHeight="1">
      <c r="A72" s="48" t="s">
        <v>142</v>
      </c>
      <c r="B72" s="49" t="s">
        <v>310</v>
      </c>
      <c r="C72" s="63"/>
      <c r="D72" s="63"/>
      <c r="E72" s="63"/>
      <c r="F72" s="63"/>
      <c r="G72" s="63"/>
      <c r="H72" s="63"/>
      <c r="I72" s="63"/>
    </row>
    <row r="73" spans="1:9" s="47" customFormat="1" ht="12" customHeight="1">
      <c r="A73" s="51" t="s">
        <v>143</v>
      </c>
      <c r="B73" s="52" t="s">
        <v>311</v>
      </c>
      <c r="C73" s="63"/>
      <c r="D73" s="63"/>
      <c r="E73" s="63"/>
      <c r="F73" s="63"/>
      <c r="G73" s="63"/>
      <c r="H73" s="63"/>
      <c r="I73" s="63"/>
    </row>
    <row r="74" spans="1:9" s="47" customFormat="1" ht="12" customHeight="1">
      <c r="A74" s="51" t="s">
        <v>336</v>
      </c>
      <c r="B74" s="52" t="s">
        <v>312</v>
      </c>
      <c r="C74" s="63"/>
      <c r="D74" s="63"/>
      <c r="E74" s="63"/>
      <c r="F74" s="63"/>
      <c r="G74" s="63"/>
      <c r="H74" s="63"/>
      <c r="I74" s="63"/>
    </row>
    <row r="75" spans="1:9" s="47" customFormat="1" ht="12" customHeight="1" thickBot="1">
      <c r="A75" s="55" t="s">
        <v>337</v>
      </c>
      <c r="B75" s="56" t="s">
        <v>313</v>
      </c>
      <c r="C75" s="63"/>
      <c r="D75" s="63"/>
      <c r="E75" s="63"/>
      <c r="F75" s="63"/>
      <c r="G75" s="63"/>
      <c r="H75" s="63"/>
      <c r="I75" s="63"/>
    </row>
    <row r="76" spans="1:9" s="47" customFormat="1" ht="12" customHeight="1" thickBot="1">
      <c r="A76" s="67" t="s">
        <v>314</v>
      </c>
      <c r="B76" s="57" t="s">
        <v>315</v>
      </c>
      <c r="C76" s="46">
        <f t="shared" ref="C76:H76" si="12">SUM(C77:C78)</f>
        <v>0</v>
      </c>
      <c r="D76" s="46">
        <f t="shared" si="12"/>
        <v>0</v>
      </c>
      <c r="E76" s="46">
        <f t="shared" si="12"/>
        <v>0</v>
      </c>
      <c r="F76" s="46">
        <f t="shared" si="12"/>
        <v>0</v>
      </c>
      <c r="G76" s="46">
        <f t="shared" si="12"/>
        <v>0</v>
      </c>
      <c r="H76" s="46">
        <f t="shared" si="12"/>
        <v>0</v>
      </c>
      <c r="I76" s="46">
        <f>SUM(I77:I78)</f>
        <v>0</v>
      </c>
    </row>
    <row r="77" spans="1:9" s="47" customFormat="1" ht="12" customHeight="1">
      <c r="A77" s="48" t="s">
        <v>338</v>
      </c>
      <c r="B77" s="49" t="s">
        <v>316</v>
      </c>
      <c r="C77" s="63"/>
      <c r="D77" s="63"/>
      <c r="E77" s="63"/>
      <c r="F77" s="63"/>
      <c r="G77" s="63"/>
      <c r="H77" s="63"/>
      <c r="I77" s="63"/>
    </row>
    <row r="78" spans="1:9" s="47" customFormat="1" ht="12" customHeight="1" thickBot="1">
      <c r="A78" s="55" t="s">
        <v>339</v>
      </c>
      <c r="B78" s="56" t="s">
        <v>317</v>
      </c>
      <c r="C78" s="63"/>
      <c r="D78" s="63"/>
      <c r="E78" s="63"/>
      <c r="F78" s="63"/>
      <c r="G78" s="63"/>
      <c r="H78" s="63"/>
      <c r="I78" s="63"/>
    </row>
    <row r="79" spans="1:9" s="47" customFormat="1" ht="12" customHeight="1" thickBot="1">
      <c r="A79" s="67" t="s">
        <v>318</v>
      </c>
      <c r="B79" s="57" t="s">
        <v>319</v>
      </c>
      <c r="C79" s="46">
        <f t="shared" ref="C79:H79" si="13">SUM(C80:C82)</f>
        <v>0</v>
      </c>
      <c r="D79" s="46">
        <f t="shared" si="13"/>
        <v>0</v>
      </c>
      <c r="E79" s="46">
        <f t="shared" si="13"/>
        <v>0</v>
      </c>
      <c r="F79" s="46">
        <f t="shared" si="13"/>
        <v>0</v>
      </c>
      <c r="G79" s="46">
        <f t="shared" si="13"/>
        <v>0</v>
      </c>
      <c r="H79" s="46">
        <f t="shared" si="13"/>
        <v>0</v>
      </c>
      <c r="I79" s="46">
        <f>SUM(I80:I82)</f>
        <v>0</v>
      </c>
    </row>
    <row r="80" spans="1:9" s="47" customFormat="1" ht="12" customHeight="1">
      <c r="A80" s="48" t="s">
        <v>340</v>
      </c>
      <c r="B80" s="49" t="s">
        <v>320</v>
      </c>
      <c r="C80" s="63"/>
      <c r="D80" s="63"/>
      <c r="E80" s="63"/>
      <c r="F80" s="63"/>
      <c r="G80" s="63"/>
      <c r="H80" s="63"/>
      <c r="I80" s="63"/>
    </row>
    <row r="81" spans="1:9" s="47" customFormat="1" ht="12" customHeight="1">
      <c r="A81" s="51" t="s">
        <v>341</v>
      </c>
      <c r="B81" s="52" t="s">
        <v>321</v>
      </c>
      <c r="C81" s="63"/>
      <c r="D81" s="63"/>
      <c r="E81" s="63"/>
      <c r="F81" s="63"/>
      <c r="G81" s="63"/>
      <c r="H81" s="63"/>
      <c r="I81" s="63"/>
    </row>
    <row r="82" spans="1:9" s="47" customFormat="1" ht="12" customHeight="1" thickBot="1">
      <c r="A82" s="55" t="s">
        <v>342</v>
      </c>
      <c r="B82" s="56" t="s">
        <v>322</v>
      </c>
      <c r="C82" s="63"/>
      <c r="D82" s="63"/>
      <c r="E82" s="63"/>
      <c r="F82" s="63"/>
      <c r="G82" s="63"/>
      <c r="H82" s="63"/>
      <c r="I82" s="63"/>
    </row>
    <row r="83" spans="1:9" s="47" customFormat="1" ht="12" customHeight="1" thickBot="1">
      <c r="A83" s="67" t="s">
        <v>323</v>
      </c>
      <c r="B83" s="57" t="s">
        <v>343</v>
      </c>
      <c r="C83" s="46">
        <f t="shared" ref="C83:H83" si="14">SUM(C84:C87)</f>
        <v>0</v>
      </c>
      <c r="D83" s="46">
        <f t="shared" si="14"/>
        <v>0</v>
      </c>
      <c r="E83" s="46">
        <f t="shared" si="14"/>
        <v>0</v>
      </c>
      <c r="F83" s="46">
        <f t="shared" si="14"/>
        <v>0</v>
      </c>
      <c r="G83" s="46">
        <f t="shared" si="14"/>
        <v>0</v>
      </c>
      <c r="H83" s="46">
        <f t="shared" si="14"/>
        <v>0</v>
      </c>
      <c r="I83" s="46">
        <f>SUM(I84:I87)</f>
        <v>0</v>
      </c>
    </row>
    <row r="84" spans="1:9" s="47" customFormat="1" ht="12" customHeight="1">
      <c r="A84" s="69" t="s">
        <v>324</v>
      </c>
      <c r="B84" s="49" t="s">
        <v>325</v>
      </c>
      <c r="C84" s="63"/>
      <c r="D84" s="63"/>
      <c r="E84" s="63"/>
      <c r="F84" s="63"/>
      <c r="G84" s="63"/>
      <c r="H84" s="63"/>
      <c r="I84" s="63"/>
    </row>
    <row r="85" spans="1:9" s="47" customFormat="1" ht="12" customHeight="1">
      <c r="A85" s="70" t="s">
        <v>326</v>
      </c>
      <c r="B85" s="52" t="s">
        <v>327</v>
      </c>
      <c r="C85" s="63"/>
      <c r="D85" s="63"/>
      <c r="E85" s="63"/>
      <c r="F85" s="63"/>
      <c r="G85" s="63"/>
      <c r="H85" s="63"/>
      <c r="I85" s="63"/>
    </row>
    <row r="86" spans="1:9" s="47" customFormat="1" ht="12" customHeight="1">
      <c r="A86" s="70" t="s">
        <v>328</v>
      </c>
      <c r="B86" s="52" t="s">
        <v>329</v>
      </c>
      <c r="C86" s="63"/>
      <c r="D86" s="63"/>
      <c r="E86" s="63"/>
      <c r="F86" s="63"/>
      <c r="G86" s="63"/>
      <c r="H86" s="63"/>
      <c r="I86" s="63"/>
    </row>
    <row r="87" spans="1:9" s="47" customFormat="1" ht="12" customHeight="1" thickBot="1">
      <c r="A87" s="71" t="s">
        <v>330</v>
      </c>
      <c r="B87" s="56" t="s">
        <v>331</v>
      </c>
      <c r="C87" s="63"/>
      <c r="D87" s="63"/>
      <c r="E87" s="63"/>
      <c r="F87" s="63"/>
      <c r="G87" s="63"/>
      <c r="H87" s="63"/>
      <c r="I87" s="63"/>
    </row>
    <row r="88" spans="1:9" s="47" customFormat="1" ht="12" customHeight="1" thickBot="1">
      <c r="A88" s="67" t="s">
        <v>332</v>
      </c>
      <c r="B88" s="57" t="s">
        <v>473</v>
      </c>
      <c r="C88" s="72"/>
      <c r="D88" s="72"/>
      <c r="E88" s="72"/>
      <c r="F88" s="72"/>
      <c r="G88" s="72"/>
      <c r="H88" s="72"/>
      <c r="I88" s="72"/>
    </row>
    <row r="89" spans="1:9" s="47" customFormat="1" ht="13.5" customHeight="1" thickBot="1">
      <c r="A89" s="67" t="s">
        <v>334</v>
      </c>
      <c r="B89" s="57" t="s">
        <v>333</v>
      </c>
      <c r="C89" s="72"/>
      <c r="D89" s="72"/>
      <c r="E89" s="72"/>
      <c r="F89" s="72"/>
      <c r="G89" s="72"/>
      <c r="H89" s="72"/>
      <c r="I89" s="72"/>
    </row>
    <row r="90" spans="1:9" s="47" customFormat="1" ht="15.75" customHeight="1" thickBot="1">
      <c r="A90" s="67" t="s">
        <v>346</v>
      </c>
      <c r="B90" s="73" t="s">
        <v>476</v>
      </c>
      <c r="C90" s="60">
        <f t="shared" ref="C90:H90" si="15">+C67+C71+C76+C79+C83+C89+C88</f>
        <v>0</v>
      </c>
      <c r="D90" s="60">
        <f t="shared" si="15"/>
        <v>0</v>
      </c>
      <c r="E90" s="60">
        <f t="shared" si="15"/>
        <v>0</v>
      </c>
      <c r="F90" s="60">
        <f t="shared" si="15"/>
        <v>0</v>
      </c>
      <c r="G90" s="60">
        <f t="shared" si="15"/>
        <v>0</v>
      </c>
      <c r="H90" s="60">
        <f t="shared" si="15"/>
        <v>0</v>
      </c>
      <c r="I90" s="60">
        <f>+I67+I71+I76+I79+I83+I89+I88</f>
        <v>0</v>
      </c>
    </row>
    <row r="91" spans="1:9" s="47" customFormat="1" ht="16.5" customHeight="1" thickBot="1">
      <c r="A91" s="74" t="s">
        <v>475</v>
      </c>
      <c r="B91" s="75" t="s">
        <v>477</v>
      </c>
      <c r="C91" s="60">
        <f t="shared" ref="C91:H91" si="16">+C66+C90</f>
        <v>0</v>
      </c>
      <c r="D91" s="60">
        <f t="shared" si="16"/>
        <v>0</v>
      </c>
      <c r="E91" s="60">
        <f t="shared" si="16"/>
        <v>0</v>
      </c>
      <c r="F91" s="60">
        <f t="shared" si="16"/>
        <v>0</v>
      </c>
      <c r="G91" s="60">
        <f t="shared" si="16"/>
        <v>0</v>
      </c>
      <c r="H91" s="60">
        <f t="shared" si="16"/>
        <v>0</v>
      </c>
      <c r="I91" s="60">
        <f>+I66+I90</f>
        <v>0</v>
      </c>
    </row>
    <row r="92" spans="1:9" s="47" customFormat="1" ht="83.25" customHeight="1">
      <c r="A92" s="76"/>
      <c r="B92" s="77"/>
      <c r="C92" s="78"/>
      <c r="D92" s="78"/>
      <c r="E92" s="78"/>
      <c r="F92" s="78"/>
      <c r="G92" s="78"/>
      <c r="H92" s="78"/>
      <c r="I92" s="78"/>
    </row>
    <row r="93" spans="1:9" ht="16.5" customHeight="1">
      <c r="A93" s="735" t="s">
        <v>44</v>
      </c>
      <c r="B93" s="735"/>
      <c r="C93" s="36"/>
      <c r="D93" s="36"/>
      <c r="E93" s="36"/>
      <c r="F93" s="36"/>
      <c r="G93" s="36"/>
      <c r="H93" s="36"/>
      <c r="I93" s="36"/>
    </row>
    <row r="94" spans="1:9" s="80" customFormat="1" ht="16.5" customHeight="1" thickBot="1">
      <c r="A94" s="736" t="s">
        <v>145</v>
      </c>
      <c r="B94" s="736"/>
      <c r="C94" s="79" t="s">
        <v>739</v>
      </c>
      <c r="D94" s="79" t="s">
        <v>739</v>
      </c>
      <c r="E94" s="79" t="s">
        <v>739</v>
      </c>
      <c r="F94" s="79" t="s">
        <v>739</v>
      </c>
      <c r="G94" s="79" t="s">
        <v>739</v>
      </c>
      <c r="H94" s="79" t="s">
        <v>739</v>
      </c>
      <c r="I94" s="79" t="s">
        <v>739</v>
      </c>
    </row>
    <row r="95" spans="1:9" ht="38.1" customHeight="1" thickBot="1">
      <c r="A95" s="38" t="s">
        <v>66</v>
      </c>
      <c r="B95" s="39" t="s">
        <v>45</v>
      </c>
      <c r="C95" s="9" t="str">
        <f>+C7</f>
        <v>Eredeti előirányzat (2018.01)</v>
      </c>
      <c r="D95" s="9" t="s">
        <v>738</v>
      </c>
      <c r="E95" s="9" t="s">
        <v>743</v>
      </c>
      <c r="F95" s="9" t="s">
        <v>758</v>
      </c>
      <c r="G95" s="9" t="s">
        <v>760</v>
      </c>
      <c r="H95" s="9" t="s">
        <v>773</v>
      </c>
      <c r="I95" s="9" t="s">
        <v>773</v>
      </c>
    </row>
    <row r="96" spans="1:9" s="43" customFormat="1" ht="12" customHeight="1" thickBot="1">
      <c r="A96" s="81" t="s">
        <v>485</v>
      </c>
      <c r="B96" s="82" t="s">
        <v>486</v>
      </c>
      <c r="C96" s="83" t="s">
        <v>487</v>
      </c>
      <c r="D96" s="83" t="s">
        <v>487</v>
      </c>
      <c r="E96" s="83" t="s">
        <v>487</v>
      </c>
      <c r="F96" s="83" t="s">
        <v>487</v>
      </c>
      <c r="G96" s="83" t="s">
        <v>487</v>
      </c>
      <c r="H96" s="83" t="s">
        <v>487</v>
      </c>
      <c r="I96" s="83" t="s">
        <v>487</v>
      </c>
    </row>
    <row r="97" spans="1:9" ht="12" customHeight="1" thickBot="1">
      <c r="A97" s="84" t="s">
        <v>16</v>
      </c>
      <c r="B97" s="85" t="s">
        <v>653</v>
      </c>
      <c r="C97" s="86">
        <f t="shared" ref="C97:H97" si="17">C98+C99+C100+C101+C102+C115</f>
        <v>0</v>
      </c>
      <c r="D97" s="86">
        <f t="shared" si="17"/>
        <v>0</v>
      </c>
      <c r="E97" s="86">
        <f t="shared" si="17"/>
        <v>0</v>
      </c>
      <c r="F97" s="86">
        <f t="shared" si="17"/>
        <v>0</v>
      </c>
      <c r="G97" s="86">
        <f t="shared" si="17"/>
        <v>0</v>
      </c>
      <c r="H97" s="86">
        <f t="shared" si="17"/>
        <v>0</v>
      </c>
      <c r="I97" s="86">
        <f>I98+I99+I100+I101+I102+I115</f>
        <v>0</v>
      </c>
    </row>
    <row r="98" spans="1:9" ht="12" customHeight="1">
      <c r="A98" s="87" t="s">
        <v>95</v>
      </c>
      <c r="B98" s="17" t="s">
        <v>46</v>
      </c>
      <c r="C98" s="88"/>
      <c r="D98" s="88"/>
      <c r="E98" s="88"/>
      <c r="F98" s="88"/>
      <c r="G98" s="88"/>
      <c r="H98" s="88"/>
      <c r="I98" s="88"/>
    </row>
    <row r="99" spans="1:9" ht="12" customHeight="1">
      <c r="A99" s="51" t="s">
        <v>96</v>
      </c>
      <c r="B99" s="18" t="s">
        <v>174</v>
      </c>
      <c r="C99" s="53"/>
      <c r="D99" s="53"/>
      <c r="E99" s="53"/>
      <c r="F99" s="53"/>
      <c r="G99" s="53"/>
      <c r="H99" s="53"/>
      <c r="I99" s="53"/>
    </row>
    <row r="100" spans="1:9" ht="12" customHeight="1">
      <c r="A100" s="51" t="s">
        <v>97</v>
      </c>
      <c r="B100" s="18" t="s">
        <v>133</v>
      </c>
      <c r="C100" s="58"/>
      <c r="D100" s="58"/>
      <c r="E100" s="58"/>
      <c r="F100" s="58"/>
      <c r="G100" s="58"/>
      <c r="H100" s="58"/>
      <c r="I100" s="58"/>
    </row>
    <row r="101" spans="1:9" ht="12" customHeight="1">
      <c r="A101" s="51" t="s">
        <v>98</v>
      </c>
      <c r="B101" s="89" t="s">
        <v>175</v>
      </c>
      <c r="C101" s="58"/>
      <c r="D101" s="58"/>
      <c r="E101" s="58"/>
      <c r="F101" s="58"/>
      <c r="G101" s="58"/>
      <c r="H101" s="58"/>
      <c r="I101" s="58"/>
    </row>
    <row r="102" spans="1:9" ht="12" customHeight="1">
      <c r="A102" s="51" t="s">
        <v>109</v>
      </c>
      <c r="B102" s="90" t="s">
        <v>176</v>
      </c>
      <c r="C102" s="58"/>
      <c r="D102" s="58"/>
      <c r="E102" s="58"/>
      <c r="F102" s="58"/>
      <c r="G102" s="58"/>
      <c r="H102" s="58"/>
      <c r="I102" s="58"/>
    </row>
    <row r="103" spans="1:9" ht="12" customHeight="1">
      <c r="A103" s="51" t="s">
        <v>99</v>
      </c>
      <c r="B103" s="18" t="s">
        <v>440</v>
      </c>
      <c r="C103" s="58"/>
      <c r="D103" s="58"/>
      <c r="E103" s="58"/>
      <c r="F103" s="58"/>
      <c r="G103" s="58"/>
      <c r="H103" s="58"/>
      <c r="I103" s="58"/>
    </row>
    <row r="104" spans="1:9" ht="12" customHeight="1">
      <c r="A104" s="51" t="s">
        <v>100</v>
      </c>
      <c r="B104" s="91" t="s">
        <v>439</v>
      </c>
      <c r="C104" s="58"/>
      <c r="D104" s="58"/>
      <c r="E104" s="58"/>
      <c r="F104" s="58"/>
      <c r="G104" s="58"/>
      <c r="H104" s="58"/>
      <c r="I104" s="58"/>
    </row>
    <row r="105" spans="1:9" ht="12" customHeight="1">
      <c r="A105" s="51" t="s">
        <v>110</v>
      </c>
      <c r="B105" s="91" t="s">
        <v>438</v>
      </c>
      <c r="C105" s="58"/>
      <c r="D105" s="58"/>
      <c r="E105" s="58"/>
      <c r="F105" s="58"/>
      <c r="G105" s="58"/>
      <c r="H105" s="58"/>
      <c r="I105" s="58"/>
    </row>
    <row r="106" spans="1:9" ht="12" customHeight="1">
      <c r="A106" s="51" t="s">
        <v>111</v>
      </c>
      <c r="B106" s="92" t="s">
        <v>349</v>
      </c>
      <c r="C106" s="58"/>
      <c r="D106" s="58"/>
      <c r="E106" s="58"/>
      <c r="F106" s="58"/>
      <c r="G106" s="58"/>
      <c r="H106" s="58"/>
      <c r="I106" s="58"/>
    </row>
    <row r="107" spans="1:9" ht="12" customHeight="1">
      <c r="A107" s="51" t="s">
        <v>112</v>
      </c>
      <c r="B107" s="93" t="s">
        <v>350</v>
      </c>
      <c r="C107" s="58"/>
      <c r="D107" s="58"/>
      <c r="E107" s="58"/>
      <c r="F107" s="58"/>
      <c r="G107" s="58"/>
      <c r="H107" s="58"/>
      <c r="I107" s="58"/>
    </row>
    <row r="108" spans="1:9" ht="12" customHeight="1">
      <c r="A108" s="51" t="s">
        <v>113</v>
      </c>
      <c r="B108" s="93" t="s">
        <v>351</v>
      </c>
      <c r="C108" s="58"/>
      <c r="D108" s="58"/>
      <c r="E108" s="58"/>
      <c r="F108" s="58"/>
      <c r="G108" s="58"/>
      <c r="H108" s="58"/>
      <c r="I108" s="58"/>
    </row>
    <row r="109" spans="1:9" ht="12" customHeight="1">
      <c r="A109" s="51" t="s">
        <v>115</v>
      </c>
      <c r="B109" s="92" t="s">
        <v>352</v>
      </c>
      <c r="C109" s="58"/>
      <c r="D109" s="58"/>
      <c r="E109" s="58"/>
      <c r="F109" s="58"/>
      <c r="G109" s="58"/>
      <c r="H109" s="58"/>
      <c r="I109" s="58"/>
    </row>
    <row r="110" spans="1:9" ht="12" customHeight="1">
      <c r="A110" s="51" t="s">
        <v>177</v>
      </c>
      <c r="B110" s="92" t="s">
        <v>353</v>
      </c>
      <c r="C110" s="58"/>
      <c r="D110" s="58"/>
      <c r="E110" s="58"/>
      <c r="F110" s="58"/>
      <c r="G110" s="58"/>
      <c r="H110" s="58"/>
      <c r="I110" s="58"/>
    </row>
    <row r="111" spans="1:9" ht="12" customHeight="1">
      <c r="A111" s="51" t="s">
        <v>347</v>
      </c>
      <c r="B111" s="93" t="s">
        <v>354</v>
      </c>
      <c r="C111" s="58"/>
      <c r="D111" s="58"/>
      <c r="E111" s="58"/>
      <c r="F111" s="58"/>
      <c r="G111" s="58"/>
      <c r="H111" s="58"/>
      <c r="I111" s="58"/>
    </row>
    <row r="112" spans="1:9" ht="12" customHeight="1">
      <c r="A112" s="94" t="s">
        <v>348</v>
      </c>
      <c r="B112" s="91" t="s">
        <v>355</v>
      </c>
      <c r="C112" s="58"/>
      <c r="D112" s="58"/>
      <c r="E112" s="58"/>
      <c r="F112" s="58"/>
      <c r="G112" s="58"/>
      <c r="H112" s="58"/>
      <c r="I112" s="58"/>
    </row>
    <row r="113" spans="1:9" ht="12" customHeight="1">
      <c r="A113" s="51" t="s">
        <v>436</v>
      </c>
      <c r="B113" s="91" t="s">
        <v>356</v>
      </c>
      <c r="C113" s="58"/>
      <c r="D113" s="58"/>
      <c r="E113" s="58"/>
      <c r="F113" s="58"/>
      <c r="G113" s="58"/>
      <c r="H113" s="58"/>
      <c r="I113" s="58"/>
    </row>
    <row r="114" spans="1:9" ht="12" customHeight="1">
      <c r="A114" s="55" t="s">
        <v>437</v>
      </c>
      <c r="B114" s="91" t="s">
        <v>357</v>
      </c>
      <c r="C114" s="58"/>
      <c r="D114" s="58"/>
      <c r="E114" s="58"/>
      <c r="F114" s="58"/>
      <c r="G114" s="58"/>
      <c r="H114" s="58"/>
      <c r="I114" s="58"/>
    </row>
    <row r="115" spans="1:9" ht="12" customHeight="1">
      <c r="A115" s="51" t="s">
        <v>441</v>
      </c>
      <c r="B115" s="89" t="s">
        <v>47</v>
      </c>
      <c r="C115" s="53"/>
      <c r="D115" s="53"/>
      <c r="E115" s="53"/>
      <c r="F115" s="53"/>
      <c r="G115" s="53"/>
      <c r="H115" s="53"/>
      <c r="I115" s="53"/>
    </row>
    <row r="116" spans="1:9" ht="12" customHeight="1">
      <c r="A116" s="51" t="s">
        <v>442</v>
      </c>
      <c r="B116" s="18" t="s">
        <v>444</v>
      </c>
      <c r="C116" s="53"/>
      <c r="D116" s="53"/>
      <c r="E116" s="53"/>
      <c r="F116" s="53"/>
      <c r="G116" s="53"/>
      <c r="H116" s="53"/>
      <c r="I116" s="53"/>
    </row>
    <row r="117" spans="1:9" ht="12" customHeight="1" thickBot="1">
      <c r="A117" s="95" t="s">
        <v>443</v>
      </c>
      <c r="B117" s="96" t="s">
        <v>445</v>
      </c>
      <c r="C117" s="97"/>
      <c r="D117" s="97"/>
      <c r="E117" s="97"/>
      <c r="F117" s="97"/>
      <c r="G117" s="97"/>
      <c r="H117" s="97"/>
      <c r="I117" s="97"/>
    </row>
    <row r="118" spans="1:9" ht="12" customHeight="1" thickBot="1">
      <c r="A118" s="98" t="s">
        <v>17</v>
      </c>
      <c r="B118" s="99" t="s">
        <v>654</v>
      </c>
      <c r="C118" s="100">
        <f t="shared" ref="C118:H118" si="18">+C119+C121+C123</f>
        <v>0</v>
      </c>
      <c r="D118" s="100">
        <f t="shared" si="18"/>
        <v>0</v>
      </c>
      <c r="E118" s="100">
        <f t="shared" si="18"/>
        <v>0</v>
      </c>
      <c r="F118" s="100">
        <f t="shared" si="18"/>
        <v>0</v>
      </c>
      <c r="G118" s="100">
        <f t="shared" si="18"/>
        <v>0</v>
      </c>
      <c r="H118" s="100">
        <f t="shared" si="18"/>
        <v>0</v>
      </c>
      <c r="I118" s="100">
        <f>+I119+I121+I123</f>
        <v>0</v>
      </c>
    </row>
    <row r="119" spans="1:9" ht="12" customHeight="1">
      <c r="A119" s="48" t="s">
        <v>101</v>
      </c>
      <c r="B119" s="18" t="s">
        <v>219</v>
      </c>
      <c r="C119" s="50"/>
      <c r="D119" s="50"/>
      <c r="E119" s="50"/>
      <c r="F119" s="50"/>
      <c r="G119" s="50"/>
      <c r="H119" s="50"/>
      <c r="I119" s="50"/>
    </row>
    <row r="120" spans="1:9" ht="12" customHeight="1">
      <c r="A120" s="48" t="s">
        <v>102</v>
      </c>
      <c r="B120" s="101" t="s">
        <v>361</v>
      </c>
      <c r="C120" s="50"/>
      <c r="D120" s="50"/>
      <c r="E120" s="50"/>
      <c r="F120" s="50"/>
      <c r="G120" s="50"/>
      <c r="H120" s="50"/>
      <c r="I120" s="50"/>
    </row>
    <row r="121" spans="1:9" ht="12" customHeight="1">
      <c r="A121" s="48" t="s">
        <v>103</v>
      </c>
      <c r="B121" s="101" t="s">
        <v>178</v>
      </c>
      <c r="C121" s="53"/>
      <c r="D121" s="53"/>
      <c r="E121" s="53"/>
      <c r="F121" s="53"/>
      <c r="G121" s="53"/>
      <c r="H121" s="53"/>
      <c r="I121" s="53"/>
    </row>
    <row r="122" spans="1:9" ht="12" customHeight="1">
      <c r="A122" s="48" t="s">
        <v>104</v>
      </c>
      <c r="B122" s="101" t="s">
        <v>362</v>
      </c>
      <c r="C122" s="102"/>
      <c r="D122" s="102"/>
      <c r="E122" s="102"/>
      <c r="F122" s="102"/>
      <c r="G122" s="102"/>
      <c r="H122" s="102"/>
      <c r="I122" s="102"/>
    </row>
    <row r="123" spans="1:9" ht="12" customHeight="1">
      <c r="A123" s="48" t="s">
        <v>105</v>
      </c>
      <c r="B123" s="56" t="s">
        <v>222</v>
      </c>
      <c r="C123" s="102"/>
      <c r="D123" s="102"/>
      <c r="E123" s="102"/>
      <c r="F123" s="102"/>
      <c r="G123" s="102"/>
      <c r="H123" s="102"/>
      <c r="I123" s="102"/>
    </row>
    <row r="124" spans="1:9" ht="12" customHeight="1">
      <c r="A124" s="48" t="s">
        <v>114</v>
      </c>
      <c r="B124" s="54" t="s">
        <v>424</v>
      </c>
      <c r="C124" s="102"/>
      <c r="D124" s="102"/>
      <c r="E124" s="102"/>
      <c r="F124" s="102"/>
      <c r="G124" s="102"/>
      <c r="H124" s="102"/>
      <c r="I124" s="102"/>
    </row>
    <row r="125" spans="1:9" ht="12" customHeight="1">
      <c r="A125" s="48" t="s">
        <v>116</v>
      </c>
      <c r="B125" s="103" t="s">
        <v>367</v>
      </c>
      <c r="C125" s="102"/>
      <c r="D125" s="102"/>
      <c r="E125" s="102"/>
      <c r="F125" s="102"/>
      <c r="G125" s="102"/>
      <c r="H125" s="102"/>
      <c r="I125" s="102"/>
    </row>
    <row r="126" spans="1:9">
      <c r="A126" s="48" t="s">
        <v>179</v>
      </c>
      <c r="B126" s="93" t="s">
        <v>351</v>
      </c>
      <c r="C126" s="102"/>
      <c r="D126" s="102"/>
      <c r="E126" s="102"/>
      <c r="F126" s="102"/>
      <c r="G126" s="102"/>
      <c r="H126" s="102"/>
      <c r="I126" s="102"/>
    </row>
    <row r="127" spans="1:9" ht="12" customHeight="1">
      <c r="A127" s="48" t="s">
        <v>180</v>
      </c>
      <c r="B127" s="93" t="s">
        <v>366</v>
      </c>
      <c r="C127" s="102"/>
      <c r="D127" s="102"/>
      <c r="E127" s="102"/>
      <c r="F127" s="102"/>
      <c r="G127" s="102"/>
      <c r="H127" s="102"/>
      <c r="I127" s="102"/>
    </row>
    <row r="128" spans="1:9" ht="12" customHeight="1">
      <c r="A128" s="48" t="s">
        <v>181</v>
      </c>
      <c r="B128" s="93" t="s">
        <v>365</v>
      </c>
      <c r="C128" s="102"/>
      <c r="D128" s="102"/>
      <c r="E128" s="102"/>
      <c r="F128" s="102"/>
      <c r="G128" s="102"/>
      <c r="H128" s="102"/>
      <c r="I128" s="102"/>
    </row>
    <row r="129" spans="1:9" ht="12" customHeight="1">
      <c r="A129" s="48" t="s">
        <v>358</v>
      </c>
      <c r="B129" s="93" t="s">
        <v>354</v>
      </c>
      <c r="C129" s="102"/>
      <c r="D129" s="102"/>
      <c r="E129" s="102"/>
      <c r="F129" s="102"/>
      <c r="G129" s="102"/>
      <c r="H129" s="102"/>
      <c r="I129" s="102"/>
    </row>
    <row r="130" spans="1:9" ht="12" customHeight="1">
      <c r="A130" s="48" t="s">
        <v>359</v>
      </c>
      <c r="B130" s="93" t="s">
        <v>364</v>
      </c>
      <c r="C130" s="102"/>
      <c r="D130" s="102"/>
      <c r="E130" s="102"/>
      <c r="F130" s="102"/>
      <c r="G130" s="102"/>
      <c r="H130" s="102"/>
      <c r="I130" s="102"/>
    </row>
    <row r="131" spans="1:9" ht="16.5" thickBot="1">
      <c r="A131" s="94" t="s">
        <v>360</v>
      </c>
      <c r="B131" s="93" t="s">
        <v>363</v>
      </c>
      <c r="C131" s="104"/>
      <c r="D131" s="104"/>
      <c r="E131" s="104"/>
      <c r="F131" s="104"/>
      <c r="G131" s="104"/>
      <c r="H131" s="104"/>
      <c r="I131" s="104"/>
    </row>
    <row r="132" spans="1:9" ht="12" customHeight="1" thickBot="1">
      <c r="A132" s="44" t="s">
        <v>18</v>
      </c>
      <c r="B132" s="21" t="s">
        <v>446</v>
      </c>
      <c r="C132" s="46">
        <f t="shared" ref="C132:H132" si="19">+C97+C118</f>
        <v>0</v>
      </c>
      <c r="D132" s="46">
        <f t="shared" si="19"/>
        <v>0</v>
      </c>
      <c r="E132" s="46">
        <f t="shared" si="19"/>
        <v>0</v>
      </c>
      <c r="F132" s="46">
        <f t="shared" si="19"/>
        <v>0</v>
      </c>
      <c r="G132" s="46">
        <f t="shared" si="19"/>
        <v>0</v>
      </c>
      <c r="H132" s="46">
        <f t="shared" si="19"/>
        <v>0</v>
      </c>
      <c r="I132" s="46">
        <f>+I97+I118</f>
        <v>0</v>
      </c>
    </row>
    <row r="133" spans="1:9" ht="12" customHeight="1" thickBot="1">
      <c r="A133" s="44" t="s">
        <v>19</v>
      </c>
      <c r="B133" s="21" t="s">
        <v>447</v>
      </c>
      <c r="C133" s="46">
        <f t="shared" ref="C133:H133" si="20">+C134+C135+C136</f>
        <v>0</v>
      </c>
      <c r="D133" s="46">
        <f t="shared" si="20"/>
        <v>0</v>
      </c>
      <c r="E133" s="46">
        <f t="shared" si="20"/>
        <v>0</v>
      </c>
      <c r="F133" s="46">
        <f t="shared" si="20"/>
        <v>0</v>
      </c>
      <c r="G133" s="46">
        <f t="shared" si="20"/>
        <v>0</v>
      </c>
      <c r="H133" s="46">
        <f t="shared" si="20"/>
        <v>0</v>
      </c>
      <c r="I133" s="46">
        <f>+I134+I135+I136</f>
        <v>0</v>
      </c>
    </row>
    <row r="134" spans="1:9" ht="12" customHeight="1">
      <c r="A134" s="48" t="s">
        <v>259</v>
      </c>
      <c r="B134" s="101" t="s">
        <v>454</v>
      </c>
      <c r="C134" s="102"/>
      <c r="D134" s="102"/>
      <c r="E134" s="102"/>
      <c r="F134" s="102"/>
      <c r="G134" s="102"/>
      <c r="H134" s="102"/>
      <c r="I134" s="102"/>
    </row>
    <row r="135" spans="1:9" ht="12" customHeight="1">
      <c r="A135" s="48" t="s">
        <v>262</v>
      </c>
      <c r="B135" s="101" t="s">
        <v>455</v>
      </c>
      <c r="C135" s="102"/>
      <c r="D135" s="102"/>
      <c r="E135" s="102"/>
      <c r="F135" s="102"/>
      <c r="G135" s="102"/>
      <c r="H135" s="102"/>
      <c r="I135" s="102"/>
    </row>
    <row r="136" spans="1:9" ht="12" customHeight="1" thickBot="1">
      <c r="A136" s="94" t="s">
        <v>263</v>
      </c>
      <c r="B136" s="101" t="s">
        <v>456</v>
      </c>
      <c r="C136" s="102"/>
      <c r="D136" s="102"/>
      <c r="E136" s="102"/>
      <c r="F136" s="102"/>
      <c r="G136" s="102"/>
      <c r="H136" s="102"/>
      <c r="I136" s="102"/>
    </row>
    <row r="137" spans="1:9" ht="12" customHeight="1" thickBot="1">
      <c r="A137" s="44" t="s">
        <v>20</v>
      </c>
      <c r="B137" s="21" t="s">
        <v>448</v>
      </c>
      <c r="C137" s="46">
        <f t="shared" ref="C137:H137" si="21">SUM(C138:C143)</f>
        <v>0</v>
      </c>
      <c r="D137" s="46">
        <f t="shared" si="21"/>
        <v>0</v>
      </c>
      <c r="E137" s="46">
        <f t="shared" si="21"/>
        <v>0</v>
      </c>
      <c r="F137" s="46">
        <f t="shared" si="21"/>
        <v>0</v>
      </c>
      <c r="G137" s="46">
        <f t="shared" si="21"/>
        <v>0</v>
      </c>
      <c r="H137" s="46">
        <f t="shared" si="21"/>
        <v>0</v>
      </c>
      <c r="I137" s="46">
        <f>SUM(I138:I143)</f>
        <v>0</v>
      </c>
    </row>
    <row r="138" spans="1:9" ht="12" customHeight="1">
      <c r="A138" s="48" t="s">
        <v>88</v>
      </c>
      <c r="B138" s="20" t="s">
        <v>457</v>
      </c>
      <c r="C138" s="102"/>
      <c r="D138" s="102"/>
      <c r="E138" s="102"/>
      <c r="F138" s="102"/>
      <c r="G138" s="102"/>
      <c r="H138" s="102"/>
      <c r="I138" s="102"/>
    </row>
    <row r="139" spans="1:9" ht="12" customHeight="1">
      <c r="A139" s="48" t="s">
        <v>89</v>
      </c>
      <c r="B139" s="20" t="s">
        <v>449</v>
      </c>
      <c r="C139" s="102"/>
      <c r="D139" s="102"/>
      <c r="E139" s="102"/>
      <c r="F139" s="102"/>
      <c r="G139" s="102"/>
      <c r="H139" s="102"/>
      <c r="I139" s="102"/>
    </row>
    <row r="140" spans="1:9" ht="12" customHeight="1">
      <c r="A140" s="48" t="s">
        <v>90</v>
      </c>
      <c r="B140" s="20" t="s">
        <v>450</v>
      </c>
      <c r="C140" s="102"/>
      <c r="D140" s="102"/>
      <c r="E140" s="102"/>
      <c r="F140" s="102"/>
      <c r="G140" s="102"/>
      <c r="H140" s="102"/>
      <c r="I140" s="102"/>
    </row>
    <row r="141" spans="1:9" ht="12" customHeight="1">
      <c r="A141" s="48" t="s">
        <v>166</v>
      </c>
      <c r="B141" s="20" t="s">
        <v>451</v>
      </c>
      <c r="C141" s="102"/>
      <c r="D141" s="102"/>
      <c r="E141" s="102"/>
      <c r="F141" s="102"/>
      <c r="G141" s="102"/>
      <c r="H141" s="102"/>
      <c r="I141" s="102"/>
    </row>
    <row r="142" spans="1:9" ht="12" customHeight="1">
      <c r="A142" s="48" t="s">
        <v>167</v>
      </c>
      <c r="B142" s="20" t="s">
        <v>452</v>
      </c>
      <c r="C142" s="102"/>
      <c r="D142" s="102"/>
      <c r="E142" s="102"/>
      <c r="F142" s="102"/>
      <c r="G142" s="102"/>
      <c r="H142" s="102"/>
      <c r="I142" s="102"/>
    </row>
    <row r="143" spans="1:9" ht="12" customHeight="1" thickBot="1">
      <c r="A143" s="94" t="s">
        <v>168</v>
      </c>
      <c r="B143" s="20" t="s">
        <v>453</v>
      </c>
      <c r="C143" s="102"/>
      <c r="D143" s="102"/>
      <c r="E143" s="102"/>
      <c r="F143" s="102"/>
      <c r="G143" s="102"/>
      <c r="H143" s="102"/>
      <c r="I143" s="102"/>
    </row>
    <row r="144" spans="1:9" ht="12" customHeight="1" thickBot="1">
      <c r="A144" s="44" t="s">
        <v>21</v>
      </c>
      <c r="B144" s="21" t="s">
        <v>461</v>
      </c>
      <c r="C144" s="60">
        <f t="shared" ref="C144:H144" si="22">+C145+C146+C147+C148</f>
        <v>0</v>
      </c>
      <c r="D144" s="60">
        <f t="shared" si="22"/>
        <v>0</v>
      </c>
      <c r="E144" s="60">
        <f t="shared" si="22"/>
        <v>0</v>
      </c>
      <c r="F144" s="60">
        <f t="shared" si="22"/>
        <v>0</v>
      </c>
      <c r="G144" s="60">
        <f t="shared" si="22"/>
        <v>0</v>
      </c>
      <c r="H144" s="60">
        <f t="shared" si="22"/>
        <v>0</v>
      </c>
      <c r="I144" s="60">
        <f>+I145+I146+I147+I148</f>
        <v>0</v>
      </c>
    </row>
    <row r="145" spans="1:9" ht="12" customHeight="1">
      <c r="A145" s="48" t="s">
        <v>91</v>
      </c>
      <c r="B145" s="20" t="s">
        <v>368</v>
      </c>
      <c r="C145" s="102"/>
      <c r="D145" s="102"/>
      <c r="E145" s="102"/>
      <c r="F145" s="102"/>
      <c r="G145" s="102"/>
      <c r="H145" s="102"/>
      <c r="I145" s="102"/>
    </row>
    <row r="146" spans="1:9" ht="12" customHeight="1">
      <c r="A146" s="48" t="s">
        <v>92</v>
      </c>
      <c r="B146" s="20" t="s">
        <v>369</v>
      </c>
      <c r="C146" s="102"/>
      <c r="D146" s="102"/>
      <c r="E146" s="102"/>
      <c r="F146" s="102"/>
      <c r="G146" s="102"/>
      <c r="H146" s="102"/>
      <c r="I146" s="102"/>
    </row>
    <row r="147" spans="1:9" ht="12" customHeight="1">
      <c r="A147" s="48" t="s">
        <v>283</v>
      </c>
      <c r="B147" s="20" t="s">
        <v>462</v>
      </c>
      <c r="C147" s="102"/>
      <c r="D147" s="102"/>
      <c r="E147" s="102"/>
      <c r="F147" s="102"/>
      <c r="G147" s="102"/>
      <c r="H147" s="102"/>
      <c r="I147" s="102"/>
    </row>
    <row r="148" spans="1:9" ht="12" customHeight="1" thickBot="1">
      <c r="A148" s="94" t="s">
        <v>284</v>
      </c>
      <c r="B148" s="19" t="s">
        <v>388</v>
      </c>
      <c r="C148" s="102"/>
      <c r="D148" s="102"/>
      <c r="E148" s="102"/>
      <c r="F148" s="102"/>
      <c r="G148" s="102"/>
      <c r="H148" s="102"/>
      <c r="I148" s="102"/>
    </row>
    <row r="149" spans="1:9" ht="12" customHeight="1" thickBot="1">
      <c r="A149" s="44" t="s">
        <v>22</v>
      </c>
      <c r="B149" s="21" t="s">
        <v>463</v>
      </c>
      <c r="C149" s="105">
        <f t="shared" ref="C149:H149" si="23">SUM(C150:C154)</f>
        <v>0</v>
      </c>
      <c r="D149" s="105">
        <f t="shared" si="23"/>
        <v>0</v>
      </c>
      <c r="E149" s="105">
        <f t="shared" si="23"/>
        <v>0</v>
      </c>
      <c r="F149" s="105">
        <f t="shared" si="23"/>
        <v>0</v>
      </c>
      <c r="G149" s="105">
        <f t="shared" si="23"/>
        <v>0</v>
      </c>
      <c r="H149" s="105">
        <f t="shared" si="23"/>
        <v>0</v>
      </c>
      <c r="I149" s="105">
        <f>SUM(I150:I154)</f>
        <v>0</v>
      </c>
    </row>
    <row r="150" spans="1:9" ht="12" customHeight="1">
      <c r="A150" s="48" t="s">
        <v>93</v>
      </c>
      <c r="B150" s="20" t="s">
        <v>458</v>
      </c>
      <c r="C150" s="102"/>
      <c r="D150" s="102"/>
      <c r="E150" s="102"/>
      <c r="F150" s="102"/>
      <c r="G150" s="102"/>
      <c r="H150" s="102"/>
      <c r="I150" s="102"/>
    </row>
    <row r="151" spans="1:9" ht="12" customHeight="1">
      <c r="A151" s="48" t="s">
        <v>94</v>
      </c>
      <c r="B151" s="20" t="s">
        <v>465</v>
      </c>
      <c r="C151" s="102"/>
      <c r="D151" s="102"/>
      <c r="E151" s="102"/>
      <c r="F151" s="102"/>
      <c r="G151" s="102"/>
      <c r="H151" s="102"/>
      <c r="I151" s="102"/>
    </row>
    <row r="152" spans="1:9" ht="12" customHeight="1">
      <c r="A152" s="48" t="s">
        <v>295</v>
      </c>
      <c r="B152" s="20" t="s">
        <v>460</v>
      </c>
      <c r="C152" s="102"/>
      <c r="D152" s="102"/>
      <c r="E152" s="102"/>
      <c r="F152" s="102"/>
      <c r="G152" s="102"/>
      <c r="H152" s="102"/>
      <c r="I152" s="102"/>
    </row>
    <row r="153" spans="1:9" ht="12" customHeight="1">
      <c r="A153" s="48" t="s">
        <v>296</v>
      </c>
      <c r="B153" s="20" t="s">
        <v>466</v>
      </c>
      <c r="C153" s="102"/>
      <c r="D153" s="102"/>
      <c r="E153" s="102"/>
      <c r="F153" s="102"/>
      <c r="G153" s="102"/>
      <c r="H153" s="102"/>
      <c r="I153" s="102"/>
    </row>
    <row r="154" spans="1:9" ht="12" customHeight="1" thickBot="1">
      <c r="A154" s="48" t="s">
        <v>464</v>
      </c>
      <c r="B154" s="20" t="s">
        <v>467</v>
      </c>
      <c r="C154" s="102"/>
      <c r="D154" s="102"/>
      <c r="E154" s="102"/>
      <c r="F154" s="102"/>
      <c r="G154" s="102"/>
      <c r="H154" s="102"/>
      <c r="I154" s="102"/>
    </row>
    <row r="155" spans="1:9" ht="12" customHeight="1" thickBot="1">
      <c r="A155" s="44" t="s">
        <v>23</v>
      </c>
      <c r="B155" s="21" t="s">
        <v>468</v>
      </c>
      <c r="C155" s="106"/>
      <c r="D155" s="106"/>
      <c r="E155" s="106"/>
      <c r="F155" s="106"/>
      <c r="G155" s="106"/>
      <c r="H155" s="106"/>
      <c r="I155" s="106"/>
    </row>
    <row r="156" spans="1:9" ht="12" customHeight="1" thickBot="1">
      <c r="A156" s="44" t="s">
        <v>24</v>
      </c>
      <c r="B156" s="21" t="s">
        <v>469</v>
      </c>
      <c r="C156" s="106"/>
      <c r="D156" s="106"/>
      <c r="E156" s="106"/>
      <c r="F156" s="106"/>
      <c r="G156" s="106"/>
      <c r="H156" s="106"/>
      <c r="I156" s="106"/>
    </row>
    <row r="157" spans="1:9" ht="15" customHeight="1" thickBot="1">
      <c r="A157" s="44" t="s">
        <v>25</v>
      </c>
      <c r="B157" s="21" t="s">
        <v>471</v>
      </c>
      <c r="C157" s="107">
        <f t="shared" ref="C157:H157" si="24">+C133+C137+C144+C149+C155+C156</f>
        <v>0</v>
      </c>
      <c r="D157" s="107">
        <f t="shared" si="24"/>
        <v>0</v>
      </c>
      <c r="E157" s="107">
        <f t="shared" si="24"/>
        <v>0</v>
      </c>
      <c r="F157" s="107">
        <f t="shared" si="24"/>
        <v>0</v>
      </c>
      <c r="G157" s="107">
        <f t="shared" si="24"/>
        <v>0</v>
      </c>
      <c r="H157" s="107">
        <f t="shared" si="24"/>
        <v>0</v>
      </c>
      <c r="I157" s="107">
        <f>+I133+I137+I144+I149+I155+I156</f>
        <v>0</v>
      </c>
    </row>
    <row r="158" spans="1:9" s="47" customFormat="1" ht="12.95" customHeight="1" thickBot="1">
      <c r="A158" s="109" t="s">
        <v>26</v>
      </c>
      <c r="B158" s="110" t="s">
        <v>470</v>
      </c>
      <c r="C158" s="107">
        <f t="shared" ref="C158:H158" si="25">+C132+C157</f>
        <v>0</v>
      </c>
      <c r="D158" s="107">
        <f t="shared" si="25"/>
        <v>0</v>
      </c>
      <c r="E158" s="107">
        <f t="shared" si="25"/>
        <v>0</v>
      </c>
      <c r="F158" s="107">
        <f t="shared" si="25"/>
        <v>0</v>
      </c>
      <c r="G158" s="107">
        <f t="shared" si="25"/>
        <v>0</v>
      </c>
      <c r="H158" s="107">
        <f t="shared" si="25"/>
        <v>0</v>
      </c>
      <c r="I158" s="107">
        <f>+I132+I157</f>
        <v>0</v>
      </c>
    </row>
    <row r="159" spans="1:9" ht="7.5" customHeight="1"/>
    <row r="160" spans="1:9">
      <c r="A160" s="737" t="s">
        <v>370</v>
      </c>
      <c r="B160" s="737"/>
      <c r="C160" s="36"/>
      <c r="D160" s="36"/>
      <c r="E160" s="36"/>
      <c r="F160" s="36"/>
      <c r="G160" s="36"/>
      <c r="H160" s="36"/>
      <c r="I160" s="36"/>
    </row>
    <row r="161" spans="1:9" ht="15" customHeight="1" thickBot="1">
      <c r="A161" s="734" t="s">
        <v>146</v>
      </c>
      <c r="B161" s="734"/>
      <c r="C161" s="37" t="s">
        <v>220</v>
      </c>
      <c r="D161" s="37" t="s">
        <v>220</v>
      </c>
      <c r="E161" s="37" t="s">
        <v>220</v>
      </c>
      <c r="F161" s="37" t="s">
        <v>220</v>
      </c>
      <c r="G161" s="37" t="s">
        <v>220</v>
      </c>
      <c r="H161" s="37" t="s">
        <v>220</v>
      </c>
      <c r="I161" s="37" t="s">
        <v>220</v>
      </c>
    </row>
    <row r="162" spans="1:9" ht="13.5" customHeight="1" thickBot="1">
      <c r="A162" s="44">
        <v>1</v>
      </c>
      <c r="B162" s="112" t="s">
        <v>472</v>
      </c>
      <c r="C162" s="46">
        <f t="shared" ref="C162:H162" si="26">+C66-C132</f>
        <v>0</v>
      </c>
      <c r="D162" s="46">
        <f t="shared" si="26"/>
        <v>0</v>
      </c>
      <c r="E162" s="46">
        <f t="shared" si="26"/>
        <v>0</v>
      </c>
      <c r="F162" s="46">
        <f t="shared" si="26"/>
        <v>0</v>
      </c>
      <c r="G162" s="46">
        <f t="shared" si="26"/>
        <v>0</v>
      </c>
      <c r="H162" s="46">
        <f t="shared" si="26"/>
        <v>0</v>
      </c>
      <c r="I162" s="46">
        <f>+I66-I132</f>
        <v>0</v>
      </c>
    </row>
    <row r="163" spans="1:9" ht="27.75" customHeight="1" thickBot="1">
      <c r="A163" s="44" t="s">
        <v>17</v>
      </c>
      <c r="B163" s="112" t="s">
        <v>478</v>
      </c>
      <c r="C163" s="46">
        <f t="shared" ref="C163:H163" si="27">+C90-C157</f>
        <v>0</v>
      </c>
      <c r="D163" s="46">
        <f t="shared" si="27"/>
        <v>0</v>
      </c>
      <c r="E163" s="46">
        <f t="shared" si="27"/>
        <v>0</v>
      </c>
      <c r="F163" s="46">
        <f t="shared" si="27"/>
        <v>0</v>
      </c>
      <c r="G163" s="46">
        <f t="shared" si="27"/>
        <v>0</v>
      </c>
      <c r="H163" s="46">
        <f t="shared" si="27"/>
        <v>0</v>
      </c>
      <c r="I163" s="46">
        <f>+I90-I157</f>
        <v>0</v>
      </c>
    </row>
  </sheetData>
  <mergeCells count="6">
    <mergeCell ref="A160:B160"/>
    <mergeCell ref="A161:B161"/>
    <mergeCell ref="A5:B5"/>
    <mergeCell ref="A6:B6"/>
    <mergeCell ref="A93:B93"/>
    <mergeCell ref="A94:B94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57" fitToHeight="2" orientation="landscape" r:id="rId1"/>
  <headerFooter alignWithMargins="0">
    <oddHeader>&amp;R&amp;"Times New Roman CE,Félkövér dőlt"&amp;11 1.4. melléklet a 2/2019. (II.28.) önkormányzati rendelethez</oddHeader>
    <oddFooter>&amp;P. oldal, összesen: &amp;N</oddFooter>
  </headerFooter>
  <rowBreaks count="2" manualBreakCount="2">
    <brk id="91" max="8" man="1"/>
    <brk id="13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Q34"/>
  <sheetViews>
    <sheetView zoomScale="115" zoomScaleNormal="115" zoomScaleSheetLayoutView="100" workbookViewId="0">
      <selection activeCell="J1" sqref="J1"/>
    </sheetView>
  </sheetViews>
  <sheetFormatPr defaultRowHeight="12.75"/>
  <cols>
    <col min="1" max="1" width="4.83203125" style="265" bestFit="1" customWidth="1"/>
    <col min="2" max="2" width="47.6640625" style="264" bestFit="1" customWidth="1"/>
    <col min="3" max="9" width="12.83203125" style="265" bestFit="1" customWidth="1"/>
    <col min="10" max="10" width="43.33203125" style="265" bestFit="1" customWidth="1"/>
    <col min="11" max="17" width="18.83203125" style="265" customWidth="1"/>
    <col min="18" max="16384" width="9.33203125" style="265"/>
  </cols>
  <sheetData>
    <row r="1" spans="1:17" ht="19.5" customHeight="1">
      <c r="B1" s="265"/>
      <c r="J1" s="472" t="s">
        <v>787</v>
      </c>
    </row>
    <row r="2" spans="1:17" ht="39.75" customHeight="1">
      <c r="B2" s="192" t="s">
        <v>149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</row>
    <row r="3" spans="1:17" ht="14.25" thickBot="1">
      <c r="K3" s="559" t="s">
        <v>588</v>
      </c>
      <c r="L3" s="559" t="s">
        <v>588</v>
      </c>
      <c r="M3" s="559" t="s">
        <v>588</v>
      </c>
      <c r="N3" s="559" t="s">
        <v>588</v>
      </c>
      <c r="O3" s="559" t="s">
        <v>588</v>
      </c>
      <c r="P3" s="559" t="s">
        <v>588</v>
      </c>
      <c r="Q3" s="559" t="s">
        <v>588</v>
      </c>
    </row>
    <row r="4" spans="1:17" ht="18" customHeight="1" thickBot="1">
      <c r="A4" s="738" t="s">
        <v>66</v>
      </c>
      <c r="B4" s="193" t="s">
        <v>53</v>
      </c>
      <c r="C4" s="560"/>
      <c r="D4" s="560"/>
      <c r="E4" s="560"/>
      <c r="F4" s="560"/>
      <c r="G4" s="560"/>
      <c r="H4" s="560"/>
      <c r="I4" s="560"/>
      <c r="J4" s="193" t="s">
        <v>54</v>
      </c>
      <c r="K4" s="561"/>
      <c r="L4" s="561"/>
      <c r="M4" s="561"/>
      <c r="N4" s="561"/>
      <c r="O4" s="561"/>
      <c r="P4" s="561"/>
      <c r="Q4" s="561"/>
    </row>
    <row r="5" spans="1:17" s="196" customFormat="1" ht="35.25" customHeight="1" thickBot="1">
      <c r="A5" s="739"/>
      <c r="B5" s="194" t="s">
        <v>58</v>
      </c>
      <c r="C5" s="195" t="s">
        <v>687</v>
      </c>
      <c r="D5" s="623" t="s">
        <v>738</v>
      </c>
      <c r="E5" s="623" t="s">
        <v>743</v>
      </c>
      <c r="F5" s="623" t="s">
        <v>758</v>
      </c>
      <c r="G5" s="623" t="s">
        <v>760</v>
      </c>
      <c r="H5" s="623" t="s">
        <v>773</v>
      </c>
      <c r="I5" s="623" t="s">
        <v>780</v>
      </c>
      <c r="J5" s="194" t="s">
        <v>58</v>
      </c>
      <c r="K5" s="195" t="s">
        <v>687</v>
      </c>
      <c r="L5" s="623" t="s">
        <v>738</v>
      </c>
      <c r="M5" s="623" t="s">
        <v>743</v>
      </c>
      <c r="N5" s="623" t="s">
        <v>758</v>
      </c>
      <c r="O5" s="623" t="s">
        <v>760</v>
      </c>
      <c r="P5" s="623" t="s">
        <v>773</v>
      </c>
      <c r="Q5" s="623" t="s">
        <v>780</v>
      </c>
    </row>
    <row r="6" spans="1:17" s="218" customFormat="1" ht="12" customHeight="1" thickBot="1">
      <c r="A6" s="197" t="s">
        <v>485</v>
      </c>
      <c r="B6" s="198" t="s">
        <v>486</v>
      </c>
      <c r="C6" s="562" t="s">
        <v>487</v>
      </c>
      <c r="D6" s="562" t="s">
        <v>487</v>
      </c>
      <c r="E6" s="562" t="s">
        <v>487</v>
      </c>
      <c r="F6" s="562" t="s">
        <v>487</v>
      </c>
      <c r="G6" s="562" t="s">
        <v>487</v>
      </c>
      <c r="H6" s="562" t="s">
        <v>487</v>
      </c>
      <c r="I6" s="562" t="s">
        <v>487</v>
      </c>
      <c r="J6" s="198" t="s">
        <v>489</v>
      </c>
      <c r="K6" s="199" t="s">
        <v>488</v>
      </c>
      <c r="L6" s="199" t="s">
        <v>488</v>
      </c>
      <c r="M6" s="199" t="s">
        <v>488</v>
      </c>
      <c r="N6" s="199" t="s">
        <v>488</v>
      </c>
      <c r="O6" s="199" t="s">
        <v>488</v>
      </c>
      <c r="P6" s="199" t="s">
        <v>488</v>
      </c>
      <c r="Q6" s="199" t="s">
        <v>488</v>
      </c>
    </row>
    <row r="7" spans="1:17" ht="12.95" customHeight="1">
      <c r="A7" s="731" t="s">
        <v>16</v>
      </c>
      <c r="B7" s="200" t="s">
        <v>371</v>
      </c>
      <c r="C7" s="563">
        <v>218395679</v>
      </c>
      <c r="D7" s="563">
        <f>218395679+280587+241524</f>
        <v>218917790</v>
      </c>
      <c r="E7" s="563">
        <f>218395679+280587+241524+411269+533400-152000+187376+293730-2814800</f>
        <v>217376765</v>
      </c>
      <c r="F7" s="563">
        <f>218395679+280587+241524+411269+533400-152000+187376+293730-2814800+19701700+2500000</f>
        <v>239578465</v>
      </c>
      <c r="G7" s="563">
        <f>218395679+280587+241524+411269+533400-152000+187376+293730-2814800+19701700+2500000+585071+281066+540000</f>
        <v>240984602</v>
      </c>
      <c r="H7" s="563">
        <f>240984602+226143+291818+2951480+3207200+191640+92490+145909+1056000</f>
        <v>249147282</v>
      </c>
      <c r="I7" s="563">
        <f>240984602+226143+291818+2951480+3207200+191640+92490+145909+92494+173484+51252-141100+1056000+518310</f>
        <v>249841722</v>
      </c>
      <c r="J7" s="200" t="s">
        <v>59</v>
      </c>
      <c r="K7" s="22">
        <v>76128455</v>
      </c>
      <c r="L7" s="22">
        <f>76128455+652240</f>
        <v>76780695</v>
      </c>
      <c r="M7" s="22">
        <f>76780695+2595000+80625-3120000-136576</f>
        <v>76199744</v>
      </c>
      <c r="N7" s="22">
        <f>76780695+2595000+80625-3120000-136576</f>
        <v>76199744</v>
      </c>
      <c r="O7" s="22">
        <f>76199744+600000-600000+533651+489180-346778-10908+805717+3000000</f>
        <v>80670606</v>
      </c>
      <c r="P7" s="22">
        <f>80670606+600000+548400</f>
        <v>81819006</v>
      </c>
      <c r="Q7" s="22">
        <f>80670606+600000+548400</f>
        <v>81819006</v>
      </c>
    </row>
    <row r="8" spans="1:17" ht="12.95" customHeight="1">
      <c r="A8" s="732" t="s">
        <v>17</v>
      </c>
      <c r="B8" s="201" t="s">
        <v>372</v>
      </c>
      <c r="C8" s="202">
        <v>73241871</v>
      </c>
      <c r="D8" s="202">
        <f>73241871+105000+715832+78540+119640+1919391</f>
        <v>76180274</v>
      </c>
      <c r="E8" s="202">
        <f>73241871+105000+715832+78540+119640+1919391-1919391+220934+112502</f>
        <v>74594319</v>
      </c>
      <c r="F8" s="202">
        <f>73241871+105000+715832+78540+119640+1919391-1919391+220934+112502-19701700</f>
        <v>54892619</v>
      </c>
      <c r="G8" s="202">
        <f>54892619+37000+75000+962832+585681+536874+366520-22400+18253</f>
        <v>57452379</v>
      </c>
      <c r="H8" s="202">
        <f>57452379+306000+37000+706136</f>
        <v>58501515</v>
      </c>
      <c r="I8" s="202">
        <f>57452379+306000+37000+706136</f>
        <v>58501515</v>
      </c>
      <c r="J8" s="201" t="s">
        <v>174</v>
      </c>
      <c r="K8" s="30">
        <v>16384694</v>
      </c>
      <c r="L8" s="30">
        <f>16384694+63592</f>
        <v>16448286</v>
      </c>
      <c r="M8" s="30">
        <f>16448286+506025+27590-608400-30047</f>
        <v>16343454</v>
      </c>
      <c r="N8" s="30">
        <f>16448286+506025+27590-608400-30047</f>
        <v>16343454</v>
      </c>
      <c r="O8" s="30">
        <f>16343454+117000-117000+52030+47694-67622-2400+157115+585000</f>
        <v>17115271</v>
      </c>
      <c r="P8" s="30">
        <f>17115271+106136+106938</f>
        <v>17328345</v>
      </c>
      <c r="Q8" s="30">
        <f>17115271+106136+106938</f>
        <v>17328345</v>
      </c>
    </row>
    <row r="9" spans="1:17" ht="12.95" customHeight="1">
      <c r="A9" s="732" t="s">
        <v>18</v>
      </c>
      <c r="B9" s="201" t="s">
        <v>393</v>
      </c>
      <c r="C9" s="202"/>
      <c r="D9" s="202"/>
      <c r="E9" s="202"/>
      <c r="F9" s="202"/>
      <c r="G9" s="202"/>
      <c r="H9" s="202"/>
      <c r="I9" s="202"/>
      <c r="J9" s="201" t="s">
        <v>225</v>
      </c>
      <c r="K9" s="30">
        <v>213143994</v>
      </c>
      <c r="L9" s="30">
        <f>213143994+635000+101600</f>
        <v>213880594</v>
      </c>
      <c r="M9" s="30">
        <f>213143994+635000+101600+533400+167910+190500+34360+13694572+9032376+6502400+702474+132358+1911775+1441313</f>
        <v>248224032</v>
      </c>
      <c r="N9" s="30">
        <f>213143994+635000+101600+533400+167910+190500+34360+13694572+9032376+6502400+702474+132358+1911775+1441313</f>
        <v>248224032</v>
      </c>
      <c r="O9" s="30">
        <f>213143994+635000+101600+533400+167910+190500+34360+13694572+9032376+6502400+702474+132358+1911775+1441313-175536-375067-121089+7200000+6350000</f>
        <v>261102340</v>
      </c>
      <c r="P9" s="30">
        <f>261102340+306000+21143000+140000+2951480-400000</f>
        <v>285242820</v>
      </c>
      <c r="Q9" s="30">
        <f>261102340+306000+21143000+140000+2951480-400000-230000+1056000</f>
        <v>286068820</v>
      </c>
    </row>
    <row r="10" spans="1:17" ht="12.95" customHeight="1">
      <c r="A10" s="732" t="s">
        <v>19</v>
      </c>
      <c r="B10" s="201" t="s">
        <v>165</v>
      </c>
      <c r="C10" s="202">
        <v>129930000</v>
      </c>
      <c r="D10" s="202">
        <v>129930000</v>
      </c>
      <c r="E10" s="202">
        <v>129930000</v>
      </c>
      <c r="F10" s="202">
        <v>129930000</v>
      </c>
      <c r="G10" s="202">
        <v>129930000</v>
      </c>
      <c r="H10" s="202">
        <f>129930000+18000000</f>
        <v>147930000</v>
      </c>
      <c r="I10" s="202">
        <f>129930000+18000000+5498000+300000+4130000</f>
        <v>157858000</v>
      </c>
      <c r="J10" s="201" t="s">
        <v>175</v>
      </c>
      <c r="K10" s="30">
        <v>9710000</v>
      </c>
      <c r="L10" s="30">
        <v>9710000</v>
      </c>
      <c r="M10" s="30">
        <v>9710000</v>
      </c>
      <c r="N10" s="30">
        <v>9710000</v>
      </c>
      <c r="O10" s="30">
        <v>9710000</v>
      </c>
      <c r="P10" s="30">
        <v>9710000</v>
      </c>
      <c r="Q10" s="30">
        <v>9710000</v>
      </c>
    </row>
    <row r="11" spans="1:17" ht="12.95" customHeight="1">
      <c r="A11" s="732" t="s">
        <v>20</v>
      </c>
      <c r="B11" s="219" t="s">
        <v>417</v>
      </c>
      <c r="C11" s="202">
        <v>139882547</v>
      </c>
      <c r="D11" s="202">
        <v>139882547</v>
      </c>
      <c r="E11" s="202">
        <f>139882547+82824+167910-249000-150000</f>
        <v>139734281</v>
      </c>
      <c r="F11" s="202">
        <f>139882547+82824+167910-249000-150000</f>
        <v>139734281</v>
      </c>
      <c r="G11" s="202">
        <f>139882547+82824+167910-249000-150000+33770000</f>
        <v>173504281</v>
      </c>
      <c r="H11" s="202">
        <f>139882547+82824+167910-249000-150000+33770000+1370000</f>
        <v>174874281</v>
      </c>
      <c r="I11" s="202">
        <f>139882547+82824+167910-249000-150000+33770000+1370000+1426000+1780000</f>
        <v>178080281</v>
      </c>
      <c r="J11" s="201" t="s">
        <v>176</v>
      </c>
      <c r="K11" s="30">
        <f>272642+112674020+38971700</f>
        <v>151918362</v>
      </c>
      <c r="L11" s="30">
        <f>272642+112674020+38971700+3987864</f>
        <v>155906226</v>
      </c>
      <c r="M11" s="30">
        <f>272642+112674020+38971700+3987864+1224473-374484+30000</f>
        <v>156786215</v>
      </c>
      <c r="N11" s="30">
        <f>272642+112674020+38971700+3987864+1224473-374484+30000+2500000</f>
        <v>159286215</v>
      </c>
      <c r="O11" s="30">
        <f>272642+112674020+38971700+3987864+1224473-374484+30000+2500000</f>
        <v>159286215</v>
      </c>
      <c r="P11" s="30">
        <f>159286215+100000+400000+3207200+50000</f>
        <v>163043415</v>
      </c>
      <c r="Q11" s="30">
        <f>159286215+100000+400000+3207200+50000-578000</f>
        <v>162465415</v>
      </c>
    </row>
    <row r="12" spans="1:17" ht="12.95" customHeight="1">
      <c r="A12" s="732" t="s">
        <v>21</v>
      </c>
      <c r="B12" s="201" t="s">
        <v>373</v>
      </c>
      <c r="C12" s="564"/>
      <c r="D12" s="564"/>
      <c r="E12" s="564"/>
      <c r="F12" s="564"/>
      <c r="G12" s="564"/>
      <c r="H12" s="564"/>
      <c r="I12" s="564"/>
      <c r="J12" s="201" t="s">
        <v>47</v>
      </c>
      <c r="K12" s="30">
        <v>73618052</v>
      </c>
      <c r="L12" s="30">
        <f>73618052+105000+78540+119640+280587+241524+1919391-3987864</f>
        <v>72374870</v>
      </c>
      <c r="M12" s="30">
        <f>72374870-5717922+82824-350000-152000+187376+293730-1919391-1224473-1000000-3101025-2814800+374484-605530+782302-190500-142575-249000-150000-2774000-5000000-3086614-597073-30000</f>
        <v>44990683</v>
      </c>
      <c r="N12" s="30">
        <f>72374870-5717922+82824-350000-152000+187376+293730-1919391-1224473-1000000-3101025-2814800+374484-605530+782302-190500-142575-249000-150000-2774000-5000000-3086614-597073-30000</f>
        <v>44990683</v>
      </c>
      <c r="O12" s="30">
        <f>44990683+37000+75000+290000+962832-962832-717000+717000+585071+281066+33770000-7200000+9574+344120-6350000-1075500-3585000+18253-50000</f>
        <v>62140267</v>
      </c>
      <c r="P12" s="30">
        <f>62140267+37000-26672-100000-27700000+226143+291818+15000+130000+191640+1370000+18000000+92490+145909-50000-655338</f>
        <v>54108257</v>
      </c>
      <c r="Q12" s="30">
        <f>62140267+37000-26672-100000-27700000+226143+291818+15000+191640+1370000+18000000+92490+145909-50000-655338+92494+173484+51252-141100+518310+255000+6924000+300000+6016000</f>
        <v>68167697</v>
      </c>
    </row>
    <row r="13" spans="1:17" ht="12.95" customHeight="1">
      <c r="A13" s="732" t="s">
        <v>22</v>
      </c>
      <c r="B13" s="201" t="s">
        <v>479</v>
      </c>
      <c r="C13" s="202"/>
      <c r="D13" s="202"/>
      <c r="E13" s="202"/>
      <c r="F13" s="202"/>
      <c r="G13" s="202"/>
      <c r="H13" s="202"/>
      <c r="I13" s="202"/>
      <c r="J13" s="204"/>
      <c r="K13" s="30"/>
      <c r="L13" s="30"/>
      <c r="M13" s="30"/>
      <c r="N13" s="30"/>
      <c r="O13" s="30"/>
      <c r="P13" s="30"/>
      <c r="Q13" s="30"/>
    </row>
    <row r="14" spans="1:17" ht="12.95" customHeight="1">
      <c r="A14" s="732" t="s">
        <v>23</v>
      </c>
      <c r="B14" s="204"/>
      <c r="C14" s="202"/>
      <c r="D14" s="202"/>
      <c r="E14" s="202"/>
      <c r="F14" s="202"/>
      <c r="G14" s="202"/>
      <c r="H14" s="202"/>
      <c r="I14" s="202"/>
      <c r="J14" s="204"/>
      <c r="K14" s="30"/>
      <c r="L14" s="30"/>
      <c r="M14" s="30"/>
      <c r="N14" s="30"/>
      <c r="O14" s="30"/>
      <c r="P14" s="30"/>
      <c r="Q14" s="30"/>
    </row>
    <row r="15" spans="1:17" ht="12.95" customHeight="1">
      <c r="A15" s="732" t="s">
        <v>24</v>
      </c>
      <c r="B15" s="220"/>
      <c r="C15" s="564"/>
      <c r="D15" s="564"/>
      <c r="E15" s="564"/>
      <c r="F15" s="564"/>
      <c r="G15" s="564"/>
      <c r="H15" s="564"/>
      <c r="I15" s="564"/>
      <c r="J15" s="204"/>
      <c r="K15" s="30"/>
      <c r="L15" s="30"/>
      <c r="M15" s="30"/>
      <c r="N15" s="30"/>
      <c r="O15" s="30"/>
      <c r="P15" s="30"/>
      <c r="Q15" s="30"/>
    </row>
    <row r="16" spans="1:17" ht="12.95" customHeight="1">
      <c r="A16" s="732" t="s">
        <v>25</v>
      </c>
      <c r="B16" s="204"/>
      <c r="C16" s="202"/>
      <c r="D16" s="202"/>
      <c r="E16" s="202"/>
      <c r="F16" s="202"/>
      <c r="G16" s="202"/>
      <c r="H16" s="202"/>
      <c r="I16" s="202"/>
      <c r="J16" s="204"/>
      <c r="K16" s="30"/>
      <c r="L16" s="30"/>
      <c r="M16" s="30"/>
      <c r="N16" s="30"/>
      <c r="O16" s="30"/>
      <c r="P16" s="30"/>
      <c r="Q16" s="30"/>
    </row>
    <row r="17" spans="1:17" ht="12.95" customHeight="1">
      <c r="A17" s="732" t="s">
        <v>26</v>
      </c>
      <c r="B17" s="204"/>
      <c r="C17" s="202"/>
      <c r="D17" s="202"/>
      <c r="E17" s="202"/>
      <c r="F17" s="202"/>
      <c r="G17" s="202"/>
      <c r="H17" s="202"/>
      <c r="I17" s="202"/>
      <c r="J17" s="204"/>
      <c r="K17" s="30"/>
      <c r="L17" s="30"/>
      <c r="M17" s="30"/>
      <c r="N17" s="30"/>
      <c r="O17" s="30"/>
      <c r="P17" s="30"/>
      <c r="Q17" s="30"/>
    </row>
    <row r="18" spans="1:17" ht="12.95" customHeight="1" thickBot="1">
      <c r="A18" s="732" t="s">
        <v>27</v>
      </c>
      <c r="B18" s="221"/>
      <c r="C18" s="570"/>
      <c r="D18" s="570"/>
      <c r="E18" s="570"/>
      <c r="F18" s="570"/>
      <c r="G18" s="570"/>
      <c r="H18" s="570"/>
      <c r="I18" s="570"/>
      <c r="J18" s="204"/>
      <c r="K18" s="571"/>
      <c r="L18" s="571"/>
      <c r="M18" s="571"/>
      <c r="N18" s="571"/>
      <c r="O18" s="571"/>
      <c r="P18" s="571"/>
      <c r="Q18" s="571"/>
    </row>
    <row r="19" spans="1:17" ht="15.95" customHeight="1" thickBot="1">
      <c r="A19" s="208" t="s">
        <v>28</v>
      </c>
      <c r="B19" s="209" t="s">
        <v>480</v>
      </c>
      <c r="C19" s="566">
        <f t="shared" ref="C19:I19" si="0">SUM(C7:C18)</f>
        <v>561450097</v>
      </c>
      <c r="D19" s="566">
        <f t="shared" si="0"/>
        <v>564910611</v>
      </c>
      <c r="E19" s="566">
        <f t="shared" si="0"/>
        <v>561635365</v>
      </c>
      <c r="F19" s="566">
        <f t="shared" si="0"/>
        <v>564135365</v>
      </c>
      <c r="G19" s="566">
        <f t="shared" si="0"/>
        <v>601871262</v>
      </c>
      <c r="H19" s="566">
        <f>SUM(H7:H18)</f>
        <v>630453078</v>
      </c>
      <c r="I19" s="566">
        <f t="shared" si="0"/>
        <v>644281518</v>
      </c>
      <c r="J19" s="209" t="s">
        <v>379</v>
      </c>
      <c r="K19" s="16">
        <f t="shared" ref="K19:P19" si="1">SUM(K7:K18)</f>
        <v>540903557</v>
      </c>
      <c r="L19" s="16">
        <f t="shared" si="1"/>
        <v>545100671</v>
      </c>
      <c r="M19" s="16">
        <f t="shared" si="1"/>
        <v>552254128</v>
      </c>
      <c r="N19" s="16">
        <f t="shared" si="1"/>
        <v>554754128</v>
      </c>
      <c r="O19" s="16">
        <f t="shared" si="1"/>
        <v>590024699</v>
      </c>
      <c r="P19" s="16">
        <f t="shared" si="1"/>
        <v>611251843</v>
      </c>
      <c r="Q19" s="16">
        <f>SUM(Q7:Q18)</f>
        <v>625559283</v>
      </c>
    </row>
    <row r="20" spans="1:17" ht="12.95" customHeight="1">
      <c r="A20" s="733" t="s">
        <v>29</v>
      </c>
      <c r="B20" s="207" t="s">
        <v>376</v>
      </c>
      <c r="C20" s="572">
        <f t="shared" ref="C20:I20" si="2">+C21+C22+C23+C24</f>
        <v>149320988</v>
      </c>
      <c r="D20" s="572">
        <f t="shared" si="2"/>
        <v>149320988</v>
      </c>
      <c r="E20" s="572">
        <f t="shared" si="2"/>
        <v>160833290</v>
      </c>
      <c r="F20" s="572">
        <f t="shared" si="2"/>
        <v>160833290</v>
      </c>
      <c r="G20" s="572">
        <f t="shared" si="2"/>
        <v>160670788</v>
      </c>
      <c r="H20" s="572">
        <f>+H21+H22+H23+H24</f>
        <v>132088972</v>
      </c>
      <c r="I20" s="572">
        <f t="shared" si="2"/>
        <v>153534690</v>
      </c>
      <c r="J20" s="201" t="s">
        <v>182</v>
      </c>
      <c r="K20" s="23"/>
      <c r="L20" s="23"/>
      <c r="M20" s="23"/>
      <c r="N20" s="23"/>
      <c r="O20" s="23"/>
      <c r="P20" s="23"/>
      <c r="Q20" s="23"/>
    </row>
    <row r="21" spans="1:17" ht="12.95" customHeight="1">
      <c r="A21" s="732" t="s">
        <v>30</v>
      </c>
      <c r="B21" s="201" t="s">
        <v>217</v>
      </c>
      <c r="C21" s="202">
        <v>149320988</v>
      </c>
      <c r="D21" s="202">
        <f>606054429-'2.2.sz.mell'!C20</f>
        <v>149320988</v>
      </c>
      <c r="E21" s="202">
        <f>149320988+736600-5717922-350000-1000000+13694572+9032376-4685083-1267047+1399405-3086614+1911775+1441313-597073</f>
        <v>160833290</v>
      </c>
      <c r="F21" s="202">
        <f>149320988+736600-5717922-350000-1000000+13694572+9032376-4685083-1267047+1399405-3086614+1911775+1441313-597073</f>
        <v>160833290</v>
      </c>
      <c r="G21" s="202">
        <f>149320988+736600-5717922-350000-1000000+13694572+9032376-4685083-1267047+1399405-3086614+1911775+1441313-597073-50000-112502</f>
        <v>160670788</v>
      </c>
      <c r="H21" s="202">
        <f>O31-H19-H25-H29</f>
        <v>132088972</v>
      </c>
      <c r="I21" s="202">
        <f>Q31-I19-I25-I29</f>
        <v>153534690</v>
      </c>
      <c r="J21" s="201" t="s">
        <v>378</v>
      </c>
      <c r="K21" s="30"/>
      <c r="L21" s="30"/>
      <c r="M21" s="30"/>
      <c r="N21" s="30"/>
      <c r="O21" s="30"/>
      <c r="P21" s="30"/>
      <c r="Q21" s="30"/>
    </row>
    <row r="22" spans="1:17" ht="12.95" customHeight="1">
      <c r="A22" s="732" t="s">
        <v>31</v>
      </c>
      <c r="B22" s="201" t="s">
        <v>218</v>
      </c>
      <c r="C22" s="202"/>
      <c r="D22" s="202"/>
      <c r="E22" s="202"/>
      <c r="F22" s="202"/>
      <c r="G22" s="202"/>
      <c r="H22" s="202"/>
      <c r="I22" s="202"/>
      <c r="J22" s="201" t="s">
        <v>147</v>
      </c>
      <c r="K22" s="30"/>
      <c r="L22" s="30"/>
      <c r="M22" s="30"/>
      <c r="N22" s="30"/>
      <c r="O22" s="30"/>
      <c r="P22" s="30"/>
      <c r="Q22" s="30"/>
    </row>
    <row r="23" spans="1:17" ht="12.95" customHeight="1">
      <c r="A23" s="732" t="s">
        <v>32</v>
      </c>
      <c r="B23" s="201" t="s">
        <v>223</v>
      </c>
      <c r="C23" s="202"/>
      <c r="D23" s="202"/>
      <c r="E23" s="202"/>
      <c r="F23" s="202"/>
      <c r="G23" s="202"/>
      <c r="H23" s="202"/>
      <c r="I23" s="202"/>
      <c r="J23" s="201" t="s">
        <v>148</v>
      </c>
      <c r="K23" s="30"/>
      <c r="L23" s="30"/>
      <c r="M23" s="30"/>
      <c r="N23" s="30"/>
      <c r="O23" s="30"/>
      <c r="P23" s="30"/>
      <c r="Q23" s="30"/>
    </row>
    <row r="24" spans="1:17" ht="12.95" customHeight="1">
      <c r="A24" s="732" t="s">
        <v>33</v>
      </c>
      <c r="B24" s="201" t="s">
        <v>224</v>
      </c>
      <c r="C24" s="202"/>
      <c r="D24" s="202"/>
      <c r="E24" s="202"/>
      <c r="F24" s="202"/>
      <c r="G24" s="202"/>
      <c r="H24" s="202"/>
      <c r="I24" s="202"/>
      <c r="J24" s="207" t="s">
        <v>226</v>
      </c>
      <c r="K24" s="30"/>
      <c r="L24" s="30"/>
      <c r="M24" s="30"/>
      <c r="N24" s="30"/>
      <c r="O24" s="30"/>
      <c r="P24" s="30"/>
      <c r="Q24" s="30"/>
    </row>
    <row r="25" spans="1:17" ht="12.95" customHeight="1">
      <c r="A25" s="732" t="s">
        <v>34</v>
      </c>
      <c r="B25" s="201" t="s">
        <v>377</v>
      </c>
      <c r="C25" s="568">
        <f t="shared" ref="C25:I25" si="3">C26+C27</f>
        <v>0</v>
      </c>
      <c r="D25" s="568">
        <f t="shared" si="3"/>
        <v>0</v>
      </c>
      <c r="E25" s="568">
        <f t="shared" si="3"/>
        <v>0</v>
      </c>
      <c r="F25" s="568">
        <f t="shared" si="3"/>
        <v>0</v>
      </c>
      <c r="G25" s="568">
        <f t="shared" si="3"/>
        <v>9574</v>
      </c>
      <c r="H25" s="568">
        <f>H26+H27</f>
        <v>9574</v>
      </c>
      <c r="I25" s="568">
        <f t="shared" si="3"/>
        <v>0</v>
      </c>
      <c r="J25" s="201" t="s">
        <v>183</v>
      </c>
      <c r="K25" s="30"/>
      <c r="L25" s="30"/>
      <c r="M25" s="30"/>
      <c r="N25" s="30"/>
      <c r="O25" s="30"/>
      <c r="P25" s="30"/>
      <c r="Q25" s="30"/>
    </row>
    <row r="26" spans="1:17" ht="12.95" customHeight="1">
      <c r="A26" s="733" t="s">
        <v>35</v>
      </c>
      <c r="B26" s="207" t="s">
        <v>374</v>
      </c>
      <c r="C26" s="573"/>
      <c r="D26" s="573"/>
      <c r="E26" s="573"/>
      <c r="F26" s="573"/>
      <c r="G26" s="573"/>
      <c r="H26" s="573"/>
      <c r="I26" s="573"/>
      <c r="J26" s="200" t="s">
        <v>462</v>
      </c>
      <c r="K26" s="23"/>
      <c r="L26" s="23"/>
      <c r="M26" s="23"/>
      <c r="N26" s="23"/>
      <c r="O26" s="23"/>
      <c r="P26" s="23"/>
      <c r="Q26" s="23"/>
    </row>
    <row r="27" spans="1:17" ht="12.95" customHeight="1">
      <c r="A27" s="732" t="s">
        <v>36</v>
      </c>
      <c r="B27" s="201" t="s">
        <v>375</v>
      </c>
      <c r="C27" s="202"/>
      <c r="D27" s="202"/>
      <c r="E27" s="202"/>
      <c r="F27" s="202"/>
      <c r="G27" s="202">
        <v>9574</v>
      </c>
      <c r="H27" s="202">
        <v>9574</v>
      </c>
      <c r="I27" s="202"/>
      <c r="J27" s="201" t="s">
        <v>468</v>
      </c>
      <c r="K27" s="30"/>
      <c r="L27" s="30"/>
      <c r="M27" s="30"/>
      <c r="N27" s="30"/>
      <c r="O27" s="30"/>
      <c r="P27" s="30"/>
      <c r="Q27" s="30"/>
    </row>
    <row r="28" spans="1:17" ht="12.95" customHeight="1">
      <c r="A28" s="732" t="s">
        <v>37</v>
      </c>
      <c r="B28" s="201" t="s">
        <v>473</v>
      </c>
      <c r="C28" s="202"/>
      <c r="D28" s="202"/>
      <c r="E28" s="202"/>
      <c r="F28" s="202"/>
      <c r="G28" s="202"/>
      <c r="H28" s="202"/>
      <c r="I28" s="202"/>
      <c r="J28" s="201" t="s">
        <v>582</v>
      </c>
      <c r="K28" s="30">
        <v>7960578</v>
      </c>
      <c r="L28" s="30">
        <f>7960578+72564</f>
        <v>8033142</v>
      </c>
      <c r="M28" s="30">
        <f>7960578+72564</f>
        <v>8033142</v>
      </c>
      <c r="N28" s="30">
        <f>7960578+72564</f>
        <v>8033142</v>
      </c>
      <c r="O28" s="30">
        <f>7960578+72564</f>
        <v>8033142</v>
      </c>
      <c r="P28" s="30">
        <f>7960578+72564</f>
        <v>8033142</v>
      </c>
      <c r="Q28" s="30">
        <f>7960578+72564+8107720</f>
        <v>16140862</v>
      </c>
    </row>
    <row r="29" spans="1:17" ht="12.95" customHeight="1" thickBot="1">
      <c r="A29" s="733" t="s">
        <v>38</v>
      </c>
      <c r="B29" s="207" t="s">
        <v>320</v>
      </c>
      <c r="C29" s="573"/>
      <c r="D29" s="573">
        <v>72564</v>
      </c>
      <c r="E29" s="573">
        <v>72564</v>
      </c>
      <c r="F29" s="573">
        <v>72564</v>
      </c>
      <c r="G29" s="573">
        <v>72564</v>
      </c>
      <c r="H29" s="573">
        <v>72564</v>
      </c>
      <c r="I29" s="573">
        <f>72564+8107720</f>
        <v>8180284</v>
      </c>
      <c r="J29" s="206" t="s">
        <v>543</v>
      </c>
      <c r="K29" s="23">
        <v>161906950</v>
      </c>
      <c r="L29" s="23">
        <v>161906950</v>
      </c>
      <c r="M29" s="23">
        <f>161906950+411269+605530-782302</f>
        <v>162141447</v>
      </c>
      <c r="N29" s="23">
        <f>161906950+411269+605530-782302</f>
        <v>162141447</v>
      </c>
      <c r="O29" s="23">
        <f>161906950+411269+605530-782302-290000+1099400+540000+1075500</f>
        <v>164566347</v>
      </c>
      <c r="P29" s="23">
        <f>164566347-15000-130000</f>
        <v>164421347</v>
      </c>
      <c r="Q29" s="23">
        <f>164566347-15000-255000</f>
        <v>164296347</v>
      </c>
    </row>
    <row r="30" spans="1:17" ht="15.95" customHeight="1" thickBot="1">
      <c r="A30" s="208" t="s">
        <v>39</v>
      </c>
      <c r="B30" s="209" t="s">
        <v>481</v>
      </c>
      <c r="C30" s="566">
        <f t="shared" ref="C30:I30" si="4">+C20+C25+C28+C29</f>
        <v>149320988</v>
      </c>
      <c r="D30" s="566">
        <f t="shared" si="4"/>
        <v>149393552</v>
      </c>
      <c r="E30" s="566">
        <f t="shared" si="4"/>
        <v>160905854</v>
      </c>
      <c r="F30" s="566">
        <f t="shared" si="4"/>
        <v>160905854</v>
      </c>
      <c r="G30" s="566">
        <f t="shared" si="4"/>
        <v>160752926</v>
      </c>
      <c r="H30" s="566">
        <f>+H20+H25+H28+H29</f>
        <v>132171110</v>
      </c>
      <c r="I30" s="566">
        <f t="shared" si="4"/>
        <v>161714974</v>
      </c>
      <c r="J30" s="209" t="s">
        <v>483</v>
      </c>
      <c r="K30" s="16">
        <f t="shared" ref="K30:P30" si="5">SUM(K20:K29)</f>
        <v>169867528</v>
      </c>
      <c r="L30" s="16">
        <f t="shared" si="5"/>
        <v>169940092</v>
      </c>
      <c r="M30" s="16">
        <f t="shared" si="5"/>
        <v>170174589</v>
      </c>
      <c r="N30" s="16">
        <f t="shared" si="5"/>
        <v>170174589</v>
      </c>
      <c r="O30" s="16">
        <f t="shared" si="5"/>
        <v>172599489</v>
      </c>
      <c r="P30" s="16">
        <f t="shared" si="5"/>
        <v>172454489</v>
      </c>
      <c r="Q30" s="16">
        <f>SUM(Q20:Q29)</f>
        <v>180437209</v>
      </c>
    </row>
    <row r="31" spans="1:17" ht="26.25" thickBot="1">
      <c r="A31" s="208" t="s">
        <v>40</v>
      </c>
      <c r="B31" s="217" t="s">
        <v>482</v>
      </c>
      <c r="C31" s="569">
        <f t="shared" ref="C31:I31" si="6">+C19+C30</f>
        <v>710771085</v>
      </c>
      <c r="D31" s="569">
        <f t="shared" si="6"/>
        <v>714304163</v>
      </c>
      <c r="E31" s="569">
        <f t="shared" si="6"/>
        <v>722541219</v>
      </c>
      <c r="F31" s="569">
        <f t="shared" si="6"/>
        <v>725041219</v>
      </c>
      <c r="G31" s="569">
        <f t="shared" si="6"/>
        <v>762624188</v>
      </c>
      <c r="H31" s="569">
        <f>+H19+H30</f>
        <v>762624188</v>
      </c>
      <c r="I31" s="569">
        <f t="shared" si="6"/>
        <v>805996492</v>
      </c>
      <c r="J31" s="217" t="s">
        <v>484</v>
      </c>
      <c r="K31" s="569">
        <f t="shared" ref="K31:P31" si="7">+K19+K30</f>
        <v>710771085</v>
      </c>
      <c r="L31" s="569">
        <f t="shared" si="7"/>
        <v>715040763</v>
      </c>
      <c r="M31" s="569">
        <f t="shared" si="7"/>
        <v>722428717</v>
      </c>
      <c r="N31" s="569">
        <f t="shared" si="7"/>
        <v>724928717</v>
      </c>
      <c r="O31" s="569">
        <f t="shared" si="7"/>
        <v>762624188</v>
      </c>
      <c r="P31" s="569">
        <f t="shared" si="7"/>
        <v>783706332</v>
      </c>
      <c r="Q31" s="569">
        <f>+Q19+Q30</f>
        <v>805996492</v>
      </c>
    </row>
    <row r="32" spans="1:17" ht="26.25" thickBot="1">
      <c r="A32" s="208" t="s">
        <v>41</v>
      </c>
      <c r="B32" s="217" t="s">
        <v>160</v>
      </c>
      <c r="C32" s="569"/>
      <c r="D32" s="569"/>
      <c r="E32" s="569"/>
      <c r="F32" s="569"/>
      <c r="G32" s="569"/>
      <c r="H32" s="569"/>
      <c r="I32" s="569"/>
      <c r="J32" s="217" t="s">
        <v>161</v>
      </c>
      <c r="K32" s="569"/>
      <c r="L32" s="569"/>
      <c r="M32" s="569"/>
      <c r="N32" s="569"/>
      <c r="O32" s="569"/>
      <c r="P32" s="569"/>
      <c r="Q32" s="569"/>
    </row>
    <row r="33" spans="1:17" ht="26.25" thickBot="1">
      <c r="A33" s="208" t="s">
        <v>42</v>
      </c>
      <c r="B33" s="217" t="s">
        <v>227</v>
      </c>
      <c r="C33" s="569"/>
      <c r="D33" s="569"/>
      <c r="E33" s="569"/>
      <c r="F33" s="569"/>
      <c r="G33" s="569"/>
      <c r="H33" s="569"/>
      <c r="I33" s="569"/>
      <c r="J33" s="217" t="s">
        <v>228</v>
      </c>
      <c r="K33" s="569"/>
      <c r="L33" s="569"/>
      <c r="M33" s="569"/>
      <c r="N33" s="569"/>
      <c r="O33" s="569"/>
      <c r="P33" s="569"/>
      <c r="Q33" s="569"/>
    </row>
    <row r="34" spans="1:17" ht="18.75">
      <c r="B34" s="740"/>
      <c r="C34" s="740"/>
      <c r="D34" s="740"/>
      <c r="E34" s="740"/>
      <c r="F34" s="740"/>
      <c r="G34" s="740"/>
      <c r="H34" s="740"/>
      <c r="I34" s="740"/>
      <c r="J34" s="740"/>
    </row>
  </sheetData>
  <mergeCells count="2">
    <mergeCell ref="A4:A5"/>
    <mergeCell ref="B34:J3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88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  <colBreaks count="1" manualBreakCount="1">
    <brk id="9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Q34"/>
  <sheetViews>
    <sheetView topLeftCell="G1" zoomScaleNormal="100" zoomScaleSheetLayoutView="115" workbookViewId="0">
      <selection activeCell="J1" sqref="J1"/>
    </sheetView>
  </sheetViews>
  <sheetFormatPr defaultRowHeight="12.75"/>
  <cols>
    <col min="1" max="1" width="6.83203125" style="265" customWidth="1"/>
    <col min="2" max="2" width="55.1640625" style="264" customWidth="1"/>
    <col min="3" max="9" width="16.33203125" style="265" customWidth="1"/>
    <col min="10" max="10" width="55.1640625" style="265" customWidth="1"/>
    <col min="11" max="17" width="16.33203125" style="265" customWidth="1"/>
    <col min="18" max="16384" width="9.33203125" style="265"/>
  </cols>
  <sheetData>
    <row r="1" spans="1:17" ht="19.5" customHeight="1">
      <c r="B1" s="265" t="s">
        <v>538</v>
      </c>
      <c r="J1" s="191" t="s">
        <v>788</v>
      </c>
      <c r="K1" s="191"/>
      <c r="L1" s="191"/>
      <c r="M1" s="191"/>
      <c r="N1" s="191"/>
      <c r="O1" s="191"/>
      <c r="P1" s="191"/>
      <c r="Q1" s="191"/>
    </row>
    <row r="2" spans="1:17" ht="31.5" customHeight="1">
      <c r="B2" s="192" t="s">
        <v>150</v>
      </c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</row>
    <row r="3" spans="1:17" ht="14.25" thickBot="1">
      <c r="K3" s="559" t="s">
        <v>588</v>
      </c>
      <c r="L3" s="559" t="s">
        <v>588</v>
      </c>
      <c r="M3" s="559" t="s">
        <v>588</v>
      </c>
      <c r="N3" s="559" t="s">
        <v>588</v>
      </c>
      <c r="O3" s="559" t="s">
        <v>588</v>
      </c>
      <c r="P3" s="559" t="s">
        <v>588</v>
      </c>
      <c r="Q3" s="559" t="s">
        <v>588</v>
      </c>
    </row>
    <row r="4" spans="1:17" ht="13.5" thickBot="1">
      <c r="A4" s="741" t="s">
        <v>66</v>
      </c>
      <c r="B4" s="193" t="s">
        <v>53</v>
      </c>
      <c r="C4" s="560"/>
      <c r="D4" s="560"/>
      <c r="E4" s="560"/>
      <c r="F4" s="560"/>
      <c r="G4" s="560"/>
      <c r="H4" s="560"/>
      <c r="I4" s="560"/>
      <c r="J4" s="193" t="s">
        <v>54</v>
      </c>
      <c r="K4" s="561"/>
      <c r="L4" s="561"/>
      <c r="M4" s="561"/>
      <c r="N4" s="561"/>
      <c r="O4" s="561"/>
      <c r="P4" s="561"/>
      <c r="Q4" s="561"/>
    </row>
    <row r="5" spans="1:17" s="196" customFormat="1" ht="36.75" thickBot="1">
      <c r="A5" s="742"/>
      <c r="B5" s="194" t="s">
        <v>58</v>
      </c>
      <c r="C5" s="195" t="s">
        <v>687</v>
      </c>
      <c r="D5" s="623" t="s">
        <v>738</v>
      </c>
      <c r="E5" s="623" t="s">
        <v>743</v>
      </c>
      <c r="F5" s="623" t="s">
        <v>758</v>
      </c>
      <c r="G5" s="623" t="s">
        <v>760</v>
      </c>
      <c r="H5" s="623" t="s">
        <v>773</v>
      </c>
      <c r="I5" s="623" t="s">
        <v>780</v>
      </c>
      <c r="J5" s="194" t="s">
        <v>58</v>
      </c>
      <c r="K5" s="195" t="s">
        <v>687</v>
      </c>
      <c r="L5" s="623" t="s">
        <v>738</v>
      </c>
      <c r="M5" s="623" t="s">
        <v>743</v>
      </c>
      <c r="N5" s="623" t="s">
        <v>758</v>
      </c>
      <c r="O5" s="623" t="s">
        <v>760</v>
      </c>
      <c r="P5" s="623" t="s">
        <v>773</v>
      </c>
      <c r="Q5" s="623" t="s">
        <v>780</v>
      </c>
    </row>
    <row r="6" spans="1:17" s="196" customFormat="1" ht="13.5" thickBot="1">
      <c r="A6" s="197" t="s">
        <v>485</v>
      </c>
      <c r="B6" s="198" t="s">
        <v>486</v>
      </c>
      <c r="C6" s="562" t="s">
        <v>487</v>
      </c>
      <c r="D6" s="562" t="s">
        <v>487</v>
      </c>
      <c r="E6" s="562" t="s">
        <v>487</v>
      </c>
      <c r="F6" s="562" t="s">
        <v>487</v>
      </c>
      <c r="G6" s="562" t="s">
        <v>487</v>
      </c>
      <c r="H6" s="562" t="s">
        <v>487</v>
      </c>
      <c r="I6" s="562" t="s">
        <v>487</v>
      </c>
      <c r="J6" s="198" t="s">
        <v>489</v>
      </c>
      <c r="K6" s="199" t="s">
        <v>488</v>
      </c>
      <c r="L6" s="199" t="s">
        <v>488</v>
      </c>
      <c r="M6" s="199" t="s">
        <v>488</v>
      </c>
      <c r="N6" s="199" t="s">
        <v>488</v>
      </c>
      <c r="O6" s="199" t="s">
        <v>488</v>
      </c>
      <c r="P6" s="199" t="s">
        <v>488</v>
      </c>
      <c r="Q6" s="199" t="s">
        <v>488</v>
      </c>
    </row>
    <row r="7" spans="1:17" ht="12.95" customHeight="1">
      <c r="A7" s="731" t="s">
        <v>16</v>
      </c>
      <c r="B7" s="200" t="s">
        <v>380</v>
      </c>
      <c r="C7" s="563">
        <v>55972518</v>
      </c>
      <c r="D7" s="563">
        <v>55972518</v>
      </c>
      <c r="E7" s="563">
        <f>55972518+2485873+7817442</f>
        <v>66275833</v>
      </c>
      <c r="F7" s="563">
        <f>55972518+2485873+7817442</f>
        <v>66275833</v>
      </c>
      <c r="G7" s="563">
        <f>55972518+2485873+7817442</f>
        <v>66275833</v>
      </c>
      <c r="H7" s="563">
        <f>66275833+506728</f>
        <v>66782561</v>
      </c>
      <c r="I7" s="563">
        <f>66275833+506728</f>
        <v>66782561</v>
      </c>
      <c r="J7" s="200" t="s">
        <v>219</v>
      </c>
      <c r="K7" s="22">
        <v>369875414</v>
      </c>
      <c r="L7" s="22">
        <f>369875414-635000-101600</f>
        <v>369138814</v>
      </c>
      <c r="M7" s="22">
        <f>369875414-635000-101600+1000000-76200-13694572-6566274+9196991-1399405+6779509-946684-2746211-1911775-1441313</f>
        <v>357332880</v>
      </c>
      <c r="N7" s="22">
        <f>369875414-635000-101600+1000000-76200-13694572-6566274+9196991-1399405+6779509-946684-2746211-1911775-1441313</f>
        <v>357332880</v>
      </c>
      <c r="O7" s="22">
        <f>369875414-635000-101600+1000000-76200-13694572-6566274+9196991-1399405+6779509-946684-2746211-1911775-1441313</f>
        <v>357332880</v>
      </c>
      <c r="P7" s="22">
        <f>357332880+533400</f>
        <v>357866280</v>
      </c>
      <c r="Q7" s="22">
        <f>357332880+533400</f>
        <v>357866280</v>
      </c>
    </row>
    <row r="8" spans="1:17">
      <c r="A8" s="732" t="s">
        <v>17</v>
      </c>
      <c r="B8" s="201" t="s">
        <v>381</v>
      </c>
      <c r="C8" s="202"/>
      <c r="D8" s="202"/>
      <c r="E8" s="202"/>
      <c r="F8" s="202"/>
      <c r="G8" s="202"/>
      <c r="H8" s="202"/>
      <c r="I8" s="202"/>
      <c r="J8" s="201" t="s">
        <v>386</v>
      </c>
      <c r="K8" s="30"/>
      <c r="L8" s="30"/>
      <c r="M8" s="30"/>
      <c r="N8" s="30"/>
      <c r="O8" s="30"/>
      <c r="P8" s="30"/>
      <c r="Q8" s="30"/>
    </row>
    <row r="9" spans="1:17" ht="12.95" customHeight="1">
      <c r="A9" s="732" t="s">
        <v>18</v>
      </c>
      <c r="B9" s="201" t="s">
        <v>10</v>
      </c>
      <c r="C9" s="202">
        <v>120000</v>
      </c>
      <c r="D9" s="202">
        <v>120000</v>
      </c>
      <c r="E9" s="202">
        <v>120000</v>
      </c>
      <c r="F9" s="202">
        <v>120000</v>
      </c>
      <c r="G9" s="202">
        <v>120000</v>
      </c>
      <c r="H9" s="202">
        <v>120000</v>
      </c>
      <c r="I9" s="202">
        <f>120000+106000</f>
        <v>226000</v>
      </c>
      <c r="J9" s="201" t="s">
        <v>178</v>
      </c>
      <c r="K9" s="30">
        <v>142950545</v>
      </c>
      <c r="L9" s="30">
        <v>142950545</v>
      </c>
      <c r="M9" s="30">
        <f>142950545+5717922+76200-9032376+13737230+597073</f>
        <v>154046594</v>
      </c>
      <c r="N9" s="30">
        <f>142950545+5717922+76200-9032376+13737230+597073</f>
        <v>154046594</v>
      </c>
      <c r="O9" s="30">
        <f>142950545+5717922+76200-9032376+13737230+597073</f>
        <v>154046594</v>
      </c>
      <c r="P9" s="30">
        <f>154046594+27700000-21143000-140000</f>
        <v>160463594</v>
      </c>
      <c r="Q9" s="30">
        <f>154046594+27700000-21143000-140000+230000</f>
        <v>160693594</v>
      </c>
    </row>
    <row r="10" spans="1:17" ht="12.95" customHeight="1">
      <c r="A10" s="732" t="s">
        <v>19</v>
      </c>
      <c r="B10" s="201" t="s">
        <v>382</v>
      </c>
      <c r="C10" s="202"/>
      <c r="D10" s="202"/>
      <c r="E10" s="202"/>
      <c r="F10" s="202"/>
      <c r="G10" s="202"/>
      <c r="H10" s="202"/>
      <c r="I10" s="202"/>
      <c r="J10" s="201" t="s">
        <v>387</v>
      </c>
      <c r="K10" s="30"/>
      <c r="L10" s="30"/>
      <c r="M10" s="30"/>
      <c r="N10" s="30"/>
      <c r="O10" s="30"/>
      <c r="P10" s="30"/>
      <c r="Q10" s="30"/>
    </row>
    <row r="11" spans="1:17" ht="12.75" customHeight="1">
      <c r="A11" s="732" t="s">
        <v>20</v>
      </c>
      <c r="B11" s="201" t="s">
        <v>383</v>
      </c>
      <c r="C11" s="202"/>
      <c r="D11" s="202"/>
      <c r="E11" s="202"/>
      <c r="F11" s="202"/>
      <c r="G11" s="202"/>
      <c r="H11" s="202"/>
      <c r="I11" s="202"/>
      <c r="J11" s="201" t="s">
        <v>222</v>
      </c>
      <c r="K11" s="30"/>
      <c r="L11" s="30"/>
      <c r="M11" s="30"/>
      <c r="N11" s="30"/>
      <c r="O11" s="30">
        <v>50000</v>
      </c>
      <c r="P11" s="30">
        <v>50000</v>
      </c>
      <c r="Q11" s="30">
        <f>50000+578000</f>
        <v>628000</v>
      </c>
    </row>
    <row r="12" spans="1:17" ht="12.95" customHeight="1">
      <c r="A12" s="732" t="s">
        <v>21</v>
      </c>
      <c r="B12" s="201" t="s">
        <v>384</v>
      </c>
      <c r="C12" s="564"/>
      <c r="D12" s="564"/>
      <c r="E12" s="564"/>
      <c r="F12" s="564"/>
      <c r="G12" s="564"/>
      <c r="H12" s="564"/>
      <c r="I12" s="564"/>
      <c r="J12" s="203"/>
      <c r="K12" s="30"/>
      <c r="L12" s="30"/>
      <c r="M12" s="30"/>
      <c r="N12" s="30"/>
      <c r="O12" s="30"/>
      <c r="P12" s="30"/>
      <c r="Q12" s="30"/>
    </row>
    <row r="13" spans="1:17" ht="12.95" customHeight="1">
      <c r="A13" s="732" t="s">
        <v>22</v>
      </c>
      <c r="B13" s="204"/>
      <c r="C13" s="202"/>
      <c r="D13" s="202"/>
      <c r="E13" s="202"/>
      <c r="F13" s="202"/>
      <c r="G13" s="202"/>
      <c r="H13" s="202"/>
      <c r="I13" s="202"/>
      <c r="J13" s="203"/>
      <c r="K13" s="30"/>
      <c r="L13" s="30"/>
      <c r="M13" s="30"/>
      <c r="N13" s="30"/>
      <c r="O13" s="30"/>
      <c r="P13" s="30"/>
      <c r="Q13" s="30"/>
    </row>
    <row r="14" spans="1:17" ht="12.95" customHeight="1">
      <c r="A14" s="732" t="s">
        <v>23</v>
      </c>
      <c r="B14" s="204"/>
      <c r="C14" s="202"/>
      <c r="D14" s="202"/>
      <c r="E14" s="202"/>
      <c r="F14" s="202"/>
      <c r="G14" s="202"/>
      <c r="H14" s="202"/>
      <c r="I14" s="202"/>
      <c r="J14" s="203"/>
      <c r="K14" s="30"/>
      <c r="L14" s="30"/>
      <c r="M14" s="30"/>
      <c r="N14" s="30"/>
      <c r="O14" s="30"/>
      <c r="P14" s="30"/>
      <c r="Q14" s="30"/>
    </row>
    <row r="15" spans="1:17" ht="12.95" customHeight="1">
      <c r="A15" s="732" t="s">
        <v>24</v>
      </c>
      <c r="B15" s="205"/>
      <c r="C15" s="564"/>
      <c r="D15" s="564"/>
      <c r="E15" s="564"/>
      <c r="F15" s="564"/>
      <c r="G15" s="564"/>
      <c r="H15" s="564"/>
      <c r="I15" s="564"/>
      <c r="J15" s="203"/>
      <c r="K15" s="30"/>
      <c r="L15" s="30"/>
      <c r="M15" s="30"/>
      <c r="N15" s="30"/>
      <c r="O15" s="30"/>
      <c r="P15" s="30"/>
      <c r="Q15" s="30"/>
    </row>
    <row r="16" spans="1:17">
      <c r="A16" s="732" t="s">
        <v>25</v>
      </c>
      <c r="B16" s="204"/>
      <c r="C16" s="564"/>
      <c r="D16" s="564"/>
      <c r="E16" s="564"/>
      <c r="F16" s="564"/>
      <c r="G16" s="564"/>
      <c r="H16" s="564"/>
      <c r="I16" s="564"/>
      <c r="J16" s="203"/>
      <c r="K16" s="30"/>
      <c r="L16" s="30"/>
      <c r="M16" s="30"/>
      <c r="N16" s="30"/>
      <c r="O16" s="30"/>
      <c r="P16" s="30"/>
      <c r="Q16" s="30"/>
    </row>
    <row r="17" spans="1:17" ht="12.95" customHeight="1" thickBot="1">
      <c r="A17" s="733" t="s">
        <v>26</v>
      </c>
      <c r="B17" s="206"/>
      <c r="C17" s="565"/>
      <c r="D17" s="565"/>
      <c r="E17" s="565"/>
      <c r="F17" s="565"/>
      <c r="G17" s="565"/>
      <c r="H17" s="565"/>
      <c r="I17" s="565"/>
      <c r="J17" s="207" t="s">
        <v>47</v>
      </c>
      <c r="K17" s="23"/>
      <c r="L17" s="23"/>
      <c r="M17" s="23"/>
      <c r="N17" s="23"/>
      <c r="O17" s="23"/>
      <c r="P17" s="23"/>
      <c r="Q17" s="23"/>
    </row>
    <row r="18" spans="1:17" ht="15.95" customHeight="1" thickBot="1">
      <c r="A18" s="208" t="s">
        <v>27</v>
      </c>
      <c r="B18" s="209" t="s">
        <v>394</v>
      </c>
      <c r="C18" s="566">
        <f t="shared" ref="C18:I18" si="0">+C7+C9+C10+C12+C13+C14+C15+C16+C17</f>
        <v>56092518</v>
      </c>
      <c r="D18" s="566">
        <f t="shared" si="0"/>
        <v>56092518</v>
      </c>
      <c r="E18" s="566">
        <f t="shared" si="0"/>
        <v>66395833</v>
      </c>
      <c r="F18" s="566">
        <f t="shared" si="0"/>
        <v>66395833</v>
      </c>
      <c r="G18" s="566">
        <f t="shared" si="0"/>
        <v>66395833</v>
      </c>
      <c r="H18" s="566">
        <f>+H7+H9+H10+H12+H13+H14+H15+H16+H17</f>
        <v>66902561</v>
      </c>
      <c r="I18" s="566">
        <f t="shared" si="0"/>
        <v>67008561</v>
      </c>
      <c r="J18" s="209" t="s">
        <v>395</v>
      </c>
      <c r="K18" s="16">
        <f t="shared" ref="K18:P18" si="1">+K7+K9+K11+K12+K13+K14+K15+K16+K17</f>
        <v>512825959</v>
      </c>
      <c r="L18" s="16">
        <f t="shared" si="1"/>
        <v>512089359</v>
      </c>
      <c r="M18" s="16">
        <f t="shared" si="1"/>
        <v>511379474</v>
      </c>
      <c r="N18" s="16">
        <f t="shared" si="1"/>
        <v>511379474</v>
      </c>
      <c r="O18" s="16">
        <f t="shared" si="1"/>
        <v>511429474</v>
      </c>
      <c r="P18" s="16">
        <f t="shared" si="1"/>
        <v>518379874</v>
      </c>
      <c r="Q18" s="16">
        <f>+Q7+Q9+Q11+Q12+Q13+Q14+Q15+Q16+Q17</f>
        <v>519187874</v>
      </c>
    </row>
    <row r="19" spans="1:17" ht="12.95" customHeight="1">
      <c r="A19" s="731" t="s">
        <v>28</v>
      </c>
      <c r="B19" s="210" t="s">
        <v>239</v>
      </c>
      <c r="C19" s="567">
        <f t="shared" ref="C19:I19" si="2">+C20+C21+C22+C23+C24</f>
        <v>456733441</v>
      </c>
      <c r="D19" s="567">
        <f t="shared" si="2"/>
        <v>456733441</v>
      </c>
      <c r="E19" s="567">
        <f t="shared" si="2"/>
        <v>445720241</v>
      </c>
      <c r="F19" s="567">
        <f t="shared" si="2"/>
        <v>445720241</v>
      </c>
      <c r="G19" s="567">
        <f t="shared" si="2"/>
        <v>445770241</v>
      </c>
      <c r="H19" s="567">
        <f>+H20+H21+H22+H23+H24</f>
        <v>444526913</v>
      </c>
      <c r="I19" s="567">
        <f t="shared" si="2"/>
        <v>452179313</v>
      </c>
      <c r="J19" s="201" t="s">
        <v>182</v>
      </c>
      <c r="K19" s="22"/>
      <c r="L19" s="22"/>
      <c r="M19" s="22"/>
      <c r="N19" s="22"/>
      <c r="O19" s="22"/>
      <c r="P19" s="22"/>
      <c r="Q19" s="22"/>
    </row>
    <row r="20" spans="1:17" ht="12.95" customHeight="1">
      <c r="A20" s="732" t="s">
        <v>29</v>
      </c>
      <c r="B20" s="211" t="s">
        <v>229</v>
      </c>
      <c r="C20" s="202">
        <f>K32-C18</f>
        <v>456733441</v>
      </c>
      <c r="D20" s="202">
        <f>K32-D18</f>
        <v>456733441</v>
      </c>
      <c r="E20" s="202">
        <f>K32-E18+5717922+1000000-13694572-9032376+7170956+9196991-1399405+3086614-1911775-1441313+597073</f>
        <v>445720241</v>
      </c>
      <c r="F20" s="202">
        <f>K32-F18+5717922+1000000-13694572-9032376+7170956+9196991-1399405+3086614-1911775-1441313+597073</f>
        <v>445720241</v>
      </c>
      <c r="G20" s="202">
        <f>K32-G18+5717922+1000000-13694572-9032376+7170956+9196991-1399405+3086614-1911775-1441313+597073+50000</f>
        <v>445770241</v>
      </c>
      <c r="H20" s="202">
        <f>O32-H18</f>
        <v>444526913</v>
      </c>
      <c r="I20" s="202">
        <f>Q32-I18-I23</f>
        <v>452169739</v>
      </c>
      <c r="J20" s="201" t="s">
        <v>185</v>
      </c>
      <c r="K20" s="30"/>
      <c r="L20" s="30"/>
      <c r="M20" s="30"/>
      <c r="N20" s="30"/>
      <c r="O20" s="30"/>
      <c r="P20" s="30"/>
      <c r="Q20" s="30"/>
    </row>
    <row r="21" spans="1:17" ht="12.95" customHeight="1">
      <c r="A21" s="731" t="s">
        <v>30</v>
      </c>
      <c r="B21" s="211" t="s">
        <v>230</v>
      </c>
      <c r="C21" s="202"/>
      <c r="D21" s="202"/>
      <c r="E21" s="202"/>
      <c r="F21" s="202"/>
      <c r="G21" s="202"/>
      <c r="H21" s="202"/>
      <c r="I21" s="202"/>
      <c r="J21" s="201" t="s">
        <v>147</v>
      </c>
      <c r="K21" s="30"/>
      <c r="L21" s="30"/>
      <c r="M21" s="30"/>
      <c r="N21" s="30"/>
      <c r="O21" s="30"/>
      <c r="P21" s="30"/>
      <c r="Q21" s="30"/>
    </row>
    <row r="22" spans="1:17" ht="12.95" customHeight="1">
      <c r="A22" s="732" t="s">
        <v>31</v>
      </c>
      <c r="B22" s="211" t="s">
        <v>231</v>
      </c>
      <c r="C22" s="202"/>
      <c r="D22" s="202"/>
      <c r="E22" s="202"/>
      <c r="F22" s="202"/>
      <c r="G22" s="202"/>
      <c r="H22" s="202"/>
      <c r="I22" s="202"/>
      <c r="J22" s="201" t="s">
        <v>148</v>
      </c>
      <c r="K22" s="30"/>
      <c r="L22" s="30"/>
      <c r="M22" s="30"/>
      <c r="N22" s="30"/>
      <c r="O22" s="30"/>
      <c r="P22" s="30"/>
      <c r="Q22" s="30"/>
    </row>
    <row r="23" spans="1:17" ht="12.95" customHeight="1">
      <c r="A23" s="731" t="s">
        <v>32</v>
      </c>
      <c r="B23" s="211" t="s">
        <v>785</v>
      </c>
      <c r="C23" s="202"/>
      <c r="D23" s="202"/>
      <c r="E23" s="202"/>
      <c r="F23" s="202"/>
      <c r="G23" s="202"/>
      <c r="H23" s="202"/>
      <c r="I23" s="202">
        <v>9574</v>
      </c>
      <c r="J23" s="207" t="s">
        <v>226</v>
      </c>
      <c r="K23" s="30"/>
      <c r="L23" s="30"/>
      <c r="M23" s="30"/>
      <c r="N23" s="30"/>
      <c r="O23" s="30"/>
      <c r="P23" s="30"/>
      <c r="Q23" s="30"/>
    </row>
    <row r="24" spans="1:17" ht="12.95" customHeight="1">
      <c r="A24" s="732" t="s">
        <v>33</v>
      </c>
      <c r="B24" s="212" t="s">
        <v>232</v>
      </c>
      <c r="C24" s="202"/>
      <c r="D24" s="202"/>
      <c r="E24" s="202"/>
      <c r="F24" s="202"/>
      <c r="G24" s="202"/>
      <c r="H24" s="202"/>
      <c r="I24" s="202"/>
      <c r="J24" s="201" t="s">
        <v>186</v>
      </c>
      <c r="K24" s="30"/>
      <c r="L24" s="30"/>
      <c r="M24" s="30"/>
      <c r="N24" s="30"/>
      <c r="O24" s="30"/>
      <c r="P24" s="30"/>
      <c r="Q24" s="30"/>
    </row>
    <row r="25" spans="1:17" ht="12.95" customHeight="1">
      <c r="A25" s="731" t="s">
        <v>34</v>
      </c>
      <c r="B25" s="213" t="s">
        <v>233</v>
      </c>
      <c r="C25" s="568">
        <f t="shared" ref="C25:I25" si="3">+C26+C27+C28+C29+C30</f>
        <v>0</v>
      </c>
      <c r="D25" s="568">
        <f t="shared" si="3"/>
        <v>0</v>
      </c>
      <c r="E25" s="568">
        <f t="shared" si="3"/>
        <v>0</v>
      </c>
      <c r="F25" s="568">
        <f t="shared" si="3"/>
        <v>0</v>
      </c>
      <c r="G25" s="568">
        <f t="shared" si="3"/>
        <v>0</v>
      </c>
      <c r="H25" s="568">
        <f>+H26+H27+H28+H29+H30</f>
        <v>0</v>
      </c>
      <c r="I25" s="568">
        <f t="shared" si="3"/>
        <v>0</v>
      </c>
      <c r="J25" s="200" t="s">
        <v>184</v>
      </c>
      <c r="K25" s="30"/>
      <c r="L25" s="30"/>
      <c r="M25" s="30"/>
      <c r="N25" s="30"/>
      <c r="O25" s="30"/>
      <c r="P25" s="30"/>
      <c r="Q25" s="30"/>
    </row>
    <row r="26" spans="1:17" ht="12.95" customHeight="1">
      <c r="A26" s="732" t="s">
        <v>35</v>
      </c>
      <c r="B26" s="212" t="s">
        <v>234</v>
      </c>
      <c r="C26" s="202"/>
      <c r="D26" s="202"/>
      <c r="E26" s="202"/>
      <c r="F26" s="202"/>
      <c r="G26" s="202"/>
      <c r="H26" s="202"/>
      <c r="I26" s="202"/>
      <c r="J26" s="200" t="s">
        <v>388</v>
      </c>
      <c r="K26" s="30"/>
      <c r="L26" s="30"/>
      <c r="M26" s="30"/>
      <c r="N26" s="30"/>
      <c r="O26" s="30"/>
      <c r="P26" s="30"/>
      <c r="Q26" s="30"/>
    </row>
    <row r="27" spans="1:17" ht="12.95" customHeight="1">
      <c r="A27" s="731" t="s">
        <v>36</v>
      </c>
      <c r="B27" s="212" t="s">
        <v>235</v>
      </c>
      <c r="C27" s="202"/>
      <c r="D27" s="202"/>
      <c r="E27" s="202"/>
      <c r="F27" s="202"/>
      <c r="G27" s="202"/>
      <c r="H27" s="202"/>
      <c r="I27" s="202"/>
      <c r="J27" s="214"/>
      <c r="K27" s="30"/>
      <c r="L27" s="30"/>
      <c r="M27" s="30"/>
      <c r="N27" s="30"/>
      <c r="O27" s="30"/>
      <c r="P27" s="30"/>
      <c r="Q27" s="30"/>
    </row>
    <row r="28" spans="1:17" ht="12.95" customHeight="1">
      <c r="A28" s="732" t="s">
        <v>37</v>
      </c>
      <c r="B28" s="211" t="s">
        <v>236</v>
      </c>
      <c r="C28" s="202"/>
      <c r="D28" s="202"/>
      <c r="E28" s="202"/>
      <c r="F28" s="202"/>
      <c r="G28" s="202"/>
      <c r="H28" s="202"/>
      <c r="I28" s="202"/>
      <c r="J28" s="214"/>
      <c r="K28" s="30"/>
      <c r="L28" s="30"/>
      <c r="M28" s="30"/>
      <c r="N28" s="30"/>
      <c r="O28" s="30"/>
      <c r="P28" s="30"/>
      <c r="Q28" s="30"/>
    </row>
    <row r="29" spans="1:17" ht="12.95" customHeight="1">
      <c r="A29" s="731" t="s">
        <v>38</v>
      </c>
      <c r="B29" s="215" t="s">
        <v>237</v>
      </c>
      <c r="C29" s="202"/>
      <c r="D29" s="202"/>
      <c r="E29" s="202"/>
      <c r="F29" s="202"/>
      <c r="G29" s="202"/>
      <c r="H29" s="202"/>
      <c r="I29" s="202"/>
      <c r="J29" s="204"/>
      <c r="K29" s="30"/>
      <c r="L29" s="30"/>
      <c r="M29" s="30"/>
      <c r="N29" s="30"/>
      <c r="O29" s="30"/>
      <c r="P29" s="30"/>
      <c r="Q29" s="30"/>
    </row>
    <row r="30" spans="1:17" ht="12.95" customHeight="1" thickBot="1">
      <c r="A30" s="732" t="s">
        <v>39</v>
      </c>
      <c r="B30" s="216" t="s">
        <v>238</v>
      </c>
      <c r="C30" s="202"/>
      <c r="D30" s="202"/>
      <c r="E30" s="202"/>
      <c r="F30" s="202"/>
      <c r="G30" s="202"/>
      <c r="H30" s="202"/>
      <c r="I30" s="202"/>
      <c r="J30" s="214"/>
      <c r="K30" s="30"/>
      <c r="L30" s="30"/>
      <c r="M30" s="30"/>
      <c r="N30" s="30"/>
      <c r="O30" s="30"/>
      <c r="P30" s="30"/>
      <c r="Q30" s="30"/>
    </row>
    <row r="31" spans="1:17" ht="21.75" customHeight="1" thickBot="1">
      <c r="A31" s="208" t="s">
        <v>40</v>
      </c>
      <c r="B31" s="209" t="s">
        <v>385</v>
      </c>
      <c r="C31" s="566">
        <f t="shared" ref="C31:I31" si="4">+C19+C25</f>
        <v>456733441</v>
      </c>
      <c r="D31" s="566">
        <f t="shared" si="4"/>
        <v>456733441</v>
      </c>
      <c r="E31" s="566">
        <f t="shared" si="4"/>
        <v>445720241</v>
      </c>
      <c r="F31" s="566">
        <f t="shared" si="4"/>
        <v>445720241</v>
      </c>
      <c r="G31" s="566">
        <f t="shared" si="4"/>
        <v>445770241</v>
      </c>
      <c r="H31" s="566">
        <f>+H19+H25</f>
        <v>444526913</v>
      </c>
      <c r="I31" s="566">
        <f t="shared" si="4"/>
        <v>452179313</v>
      </c>
      <c r="J31" s="209" t="s">
        <v>389</v>
      </c>
      <c r="K31" s="16">
        <f t="shared" ref="K31:P31" si="5">SUM(K19:K30)</f>
        <v>0</v>
      </c>
      <c r="L31" s="16">
        <f t="shared" si="5"/>
        <v>0</v>
      </c>
      <c r="M31" s="16">
        <f t="shared" si="5"/>
        <v>0</v>
      </c>
      <c r="N31" s="16">
        <f t="shared" si="5"/>
        <v>0</v>
      </c>
      <c r="O31" s="16">
        <f t="shared" si="5"/>
        <v>0</v>
      </c>
      <c r="P31" s="16">
        <f t="shared" si="5"/>
        <v>0</v>
      </c>
      <c r="Q31" s="16">
        <f>SUM(Q19:Q30)</f>
        <v>0</v>
      </c>
    </row>
    <row r="32" spans="1:17" ht="13.5" thickBot="1">
      <c r="A32" s="208" t="s">
        <v>41</v>
      </c>
      <c r="B32" s="217" t="s">
        <v>390</v>
      </c>
      <c r="C32" s="569">
        <f t="shared" ref="C32:I32" si="6">C18+C31</f>
        <v>512825959</v>
      </c>
      <c r="D32" s="569">
        <f t="shared" si="6"/>
        <v>512825959</v>
      </c>
      <c r="E32" s="569">
        <f t="shared" si="6"/>
        <v>512116074</v>
      </c>
      <c r="F32" s="569">
        <f t="shared" si="6"/>
        <v>512116074</v>
      </c>
      <c r="G32" s="569">
        <f t="shared" si="6"/>
        <v>512166074</v>
      </c>
      <c r="H32" s="569">
        <f>H18+H31</f>
        <v>511429474</v>
      </c>
      <c r="I32" s="569">
        <f t="shared" si="6"/>
        <v>519187874</v>
      </c>
      <c r="J32" s="217" t="s">
        <v>391</v>
      </c>
      <c r="K32" s="569">
        <f t="shared" ref="K32:P32" si="7">K18+K31</f>
        <v>512825959</v>
      </c>
      <c r="L32" s="569">
        <f t="shared" si="7"/>
        <v>512089359</v>
      </c>
      <c r="M32" s="569">
        <f t="shared" si="7"/>
        <v>511379474</v>
      </c>
      <c r="N32" s="569">
        <f t="shared" si="7"/>
        <v>511379474</v>
      </c>
      <c r="O32" s="569">
        <f t="shared" si="7"/>
        <v>511429474</v>
      </c>
      <c r="P32" s="569">
        <f t="shared" si="7"/>
        <v>518379874</v>
      </c>
      <c r="Q32" s="569">
        <f>Q18+Q31</f>
        <v>519187874</v>
      </c>
    </row>
    <row r="33" spans="1:17" ht="13.5" thickBot="1">
      <c r="A33" s="208" t="s">
        <v>42</v>
      </c>
      <c r="B33" s="217" t="s">
        <v>160</v>
      </c>
      <c r="C33" s="569"/>
      <c r="D33" s="569"/>
      <c r="E33" s="569"/>
      <c r="F33" s="569"/>
      <c r="G33" s="569"/>
      <c r="H33" s="569"/>
      <c r="I33" s="569"/>
      <c r="J33" s="217" t="s">
        <v>161</v>
      </c>
      <c r="K33" s="569"/>
      <c r="L33" s="569"/>
      <c r="M33" s="569"/>
      <c r="N33" s="569"/>
      <c r="O33" s="569"/>
      <c r="P33" s="569"/>
      <c r="Q33" s="569"/>
    </row>
    <row r="34" spans="1:17" ht="13.5" thickBot="1">
      <c r="A34" s="208" t="s">
        <v>43</v>
      </c>
      <c r="B34" s="217" t="s">
        <v>227</v>
      </c>
      <c r="C34" s="569"/>
      <c r="D34" s="569"/>
      <c r="E34" s="569"/>
      <c r="F34" s="569"/>
      <c r="G34" s="569"/>
      <c r="H34" s="569"/>
      <c r="I34" s="569"/>
      <c r="J34" s="217" t="s">
        <v>228</v>
      </c>
      <c r="K34" s="569"/>
      <c r="L34" s="569"/>
      <c r="M34" s="569"/>
      <c r="N34" s="569"/>
      <c r="O34" s="569"/>
      <c r="P34" s="569"/>
      <c r="Q34" s="569"/>
    </row>
  </sheetData>
  <mergeCells count="1">
    <mergeCell ref="A4:A5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1" orientation="landscape" verticalDpi="300" r:id="rId1"/>
  <headerFooter alignWithMargins="0">
    <oddFooter>&amp;P. oldal, összesen: &amp;N</oddFooter>
  </headerFooter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topLeftCell="A68" zoomScaleNormal="120" workbookViewId="0">
      <selection activeCell="D92" sqref="D92"/>
    </sheetView>
  </sheetViews>
  <sheetFormatPr defaultRowHeight="15"/>
  <cols>
    <col min="1" max="1" width="5.1640625" style="133" bestFit="1" customWidth="1"/>
    <col min="2" max="2" width="28.83203125" style="133" bestFit="1" customWidth="1"/>
    <col min="3" max="6" width="16.5" style="133" bestFit="1" customWidth="1"/>
    <col min="7" max="16384" width="9.33203125" style="133"/>
  </cols>
  <sheetData>
    <row r="1" spans="1:7" ht="33" customHeight="1">
      <c r="A1" s="743" t="s">
        <v>541</v>
      </c>
      <c r="B1" s="743"/>
      <c r="C1" s="743"/>
      <c r="D1" s="743"/>
      <c r="E1" s="743"/>
      <c r="F1" s="743"/>
    </row>
    <row r="2" spans="1:7" ht="15.95" customHeight="1" thickBot="1">
      <c r="A2" s="134"/>
      <c r="B2" s="134"/>
      <c r="C2" s="744"/>
      <c r="D2" s="744"/>
      <c r="E2" s="751" t="s">
        <v>588</v>
      </c>
      <c r="F2" s="751"/>
      <c r="G2" s="136"/>
    </row>
    <row r="3" spans="1:7" ht="63" customHeight="1">
      <c r="A3" s="747" t="s">
        <v>14</v>
      </c>
      <c r="B3" s="749" t="s">
        <v>188</v>
      </c>
      <c r="C3" s="749" t="s">
        <v>242</v>
      </c>
      <c r="D3" s="749"/>
      <c r="E3" s="749"/>
      <c r="F3" s="745" t="s">
        <v>495</v>
      </c>
    </row>
    <row r="4" spans="1:7" ht="15.75" thickBot="1">
      <c r="A4" s="748"/>
      <c r="B4" s="750"/>
      <c r="C4" s="172" t="s">
        <v>606</v>
      </c>
      <c r="D4" s="172" t="s">
        <v>607</v>
      </c>
      <c r="E4" s="172" t="s">
        <v>694</v>
      </c>
      <c r="F4" s="746"/>
    </row>
    <row r="5" spans="1:7" ht="15.75" thickBot="1">
      <c r="A5" s="173" t="s">
        <v>485</v>
      </c>
      <c r="B5" s="174" t="s">
        <v>486</v>
      </c>
      <c r="C5" s="174" t="s">
        <v>487</v>
      </c>
      <c r="D5" s="174" t="s">
        <v>489</v>
      </c>
      <c r="E5" s="174" t="s">
        <v>488</v>
      </c>
      <c r="F5" s="175" t="s">
        <v>490</v>
      </c>
    </row>
    <row r="6" spans="1:7">
      <c r="A6" s="176" t="s">
        <v>16</v>
      </c>
      <c r="B6" s="177" t="s">
        <v>559</v>
      </c>
      <c r="C6" s="178">
        <v>121900000</v>
      </c>
      <c r="D6" s="178">
        <v>121900000</v>
      </c>
      <c r="E6" s="178">
        <v>121900000</v>
      </c>
      <c r="F6" s="179">
        <f>SUM(C6:E6)</f>
        <v>365700000</v>
      </c>
    </row>
    <row r="7" spans="1:7" ht="26.25">
      <c r="A7" s="180" t="s">
        <v>17</v>
      </c>
      <c r="B7" s="476" t="s">
        <v>695</v>
      </c>
      <c r="C7" s="182">
        <v>630000</v>
      </c>
      <c r="D7" s="182">
        <v>630000</v>
      </c>
      <c r="E7" s="182">
        <v>630000</v>
      </c>
      <c r="F7" s="183">
        <f>SUM(C7:E7)</f>
        <v>1890000</v>
      </c>
    </row>
    <row r="8" spans="1:7">
      <c r="A8" s="180" t="s">
        <v>18</v>
      </c>
      <c r="B8" s="181"/>
      <c r="C8" s="182"/>
      <c r="D8" s="182"/>
      <c r="E8" s="182"/>
      <c r="F8" s="183">
        <f>SUM(C8:E8)</f>
        <v>0</v>
      </c>
    </row>
    <row r="9" spans="1:7">
      <c r="A9" s="180" t="s">
        <v>19</v>
      </c>
      <c r="B9" s="181"/>
      <c r="C9" s="182"/>
      <c r="D9" s="182"/>
      <c r="E9" s="182"/>
      <c r="F9" s="183">
        <f>SUM(C9:E9)</f>
        <v>0</v>
      </c>
    </row>
    <row r="10" spans="1:7" ht="15.75" thickBot="1">
      <c r="A10" s="184" t="s">
        <v>20</v>
      </c>
      <c r="B10" s="185"/>
      <c r="C10" s="186"/>
      <c r="D10" s="186"/>
      <c r="E10" s="186"/>
      <c r="F10" s="183">
        <f>SUM(C10:E10)</f>
        <v>0</v>
      </c>
    </row>
    <row r="11" spans="1:7" s="155" customFormat="1" thickBot="1">
      <c r="A11" s="187" t="s">
        <v>21</v>
      </c>
      <c r="B11" s="188" t="s">
        <v>189</v>
      </c>
      <c r="C11" s="189">
        <f>SUM(C6:C10)</f>
        <v>122530000</v>
      </c>
      <c r="D11" s="189">
        <f>SUM(D6:D10)</f>
        <v>122530000</v>
      </c>
      <c r="E11" s="189">
        <f>SUM(E6:E10)</f>
        <v>122530000</v>
      </c>
      <c r="F11" s="190">
        <f>SUM(F6:F10)</f>
        <v>367590000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2/2019. (II.28.)
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I12"/>
  <sheetViews>
    <sheetView view="pageLayout" zoomScaleNormal="120" workbookViewId="0">
      <selection activeCell="B6" sqref="B6"/>
    </sheetView>
  </sheetViews>
  <sheetFormatPr defaultRowHeight="15"/>
  <cols>
    <col min="1" max="1" width="4.1640625" style="133" bestFit="1" customWidth="1"/>
    <col min="2" max="2" width="67.6640625" style="133" bestFit="1" customWidth="1"/>
    <col min="3" max="3" width="15.6640625" style="469" bestFit="1" customWidth="1"/>
    <col min="4" max="4" width="12.83203125" style="469" customWidth="1"/>
    <col min="5" max="5" width="12.6640625" style="469" customWidth="1"/>
    <col min="6" max="6" width="13.1640625" style="469" customWidth="1"/>
    <col min="7" max="9" width="12.33203125" style="469" customWidth="1"/>
    <col min="10" max="16384" width="9.33203125" style="133"/>
  </cols>
  <sheetData>
    <row r="1" spans="1:9" ht="43.5" customHeight="1">
      <c r="A1" s="743" t="s">
        <v>542</v>
      </c>
      <c r="B1" s="743"/>
    </row>
    <row r="2" spans="1:9" ht="15.95" customHeight="1" thickBot="1">
      <c r="A2" s="134"/>
      <c r="B2" s="134"/>
      <c r="C2" s="470" t="s">
        <v>588</v>
      </c>
      <c r="D2" s="470" t="s">
        <v>588</v>
      </c>
      <c r="E2" s="470" t="s">
        <v>588</v>
      </c>
      <c r="F2" s="470" t="s">
        <v>588</v>
      </c>
      <c r="G2" s="470" t="s">
        <v>588</v>
      </c>
      <c r="H2" s="470" t="s">
        <v>588</v>
      </c>
      <c r="I2" s="470" t="s">
        <v>588</v>
      </c>
    </row>
    <row r="3" spans="1:9" ht="36.75" thickBot="1">
      <c r="A3" s="156" t="s">
        <v>14</v>
      </c>
      <c r="B3" s="157" t="s">
        <v>187</v>
      </c>
      <c r="C3" s="195" t="s">
        <v>687</v>
      </c>
      <c r="D3" s="9" t="s">
        <v>738</v>
      </c>
      <c r="E3" s="623" t="s">
        <v>743</v>
      </c>
      <c r="F3" s="623" t="s">
        <v>758</v>
      </c>
      <c r="G3" s="623" t="s">
        <v>760</v>
      </c>
      <c r="H3" s="623" t="s">
        <v>773</v>
      </c>
      <c r="I3" s="623" t="s">
        <v>780</v>
      </c>
    </row>
    <row r="4" spans="1:9" ht="15.75" thickBot="1">
      <c r="A4" s="158" t="s">
        <v>485</v>
      </c>
      <c r="B4" s="159" t="s">
        <v>486</v>
      </c>
      <c r="C4" s="160" t="s">
        <v>487</v>
      </c>
      <c r="D4" s="160" t="s">
        <v>487</v>
      </c>
      <c r="E4" s="160" t="s">
        <v>487</v>
      </c>
      <c r="F4" s="160" t="s">
        <v>487</v>
      </c>
      <c r="G4" s="160" t="s">
        <v>487</v>
      </c>
      <c r="H4" s="160" t="s">
        <v>487</v>
      </c>
      <c r="I4" s="160" t="s">
        <v>487</v>
      </c>
    </row>
    <row r="5" spans="1:9">
      <c r="A5" s="161" t="s">
        <v>16</v>
      </c>
      <c r="B5" s="162" t="s">
        <v>496</v>
      </c>
      <c r="C5" s="163">
        <v>121900000</v>
      </c>
      <c r="D5" s="163">
        <v>121900000</v>
      </c>
      <c r="E5" s="163">
        <v>121900000</v>
      </c>
      <c r="F5" s="163">
        <v>121900000</v>
      </c>
      <c r="G5" s="163">
        <v>121900000</v>
      </c>
      <c r="H5" s="163">
        <v>121900000</v>
      </c>
      <c r="I5" s="163">
        <v>121900000</v>
      </c>
    </row>
    <row r="6" spans="1:9" ht="24.75">
      <c r="A6" s="164" t="s">
        <v>17</v>
      </c>
      <c r="B6" s="165" t="s">
        <v>240</v>
      </c>
      <c r="C6" s="166"/>
      <c r="D6" s="166"/>
      <c r="E6" s="166"/>
      <c r="F6" s="166"/>
      <c r="G6" s="166"/>
      <c r="H6" s="166"/>
      <c r="I6" s="166"/>
    </row>
    <row r="7" spans="1:9">
      <c r="A7" s="164" t="s">
        <v>18</v>
      </c>
      <c r="B7" s="167" t="s">
        <v>497</v>
      </c>
      <c r="C7" s="166"/>
      <c r="D7" s="166"/>
      <c r="E7" s="166"/>
      <c r="F7" s="166"/>
      <c r="G7" s="166"/>
      <c r="H7" s="166"/>
      <c r="I7" s="166"/>
    </row>
    <row r="8" spans="1:9" ht="24.75">
      <c r="A8" s="164" t="s">
        <v>19</v>
      </c>
      <c r="B8" s="167" t="s">
        <v>241</v>
      </c>
      <c r="C8" s="166"/>
      <c r="D8" s="166"/>
      <c r="E8" s="166"/>
      <c r="F8" s="166"/>
      <c r="G8" s="166"/>
      <c r="H8" s="166"/>
      <c r="I8" s="166"/>
    </row>
    <row r="9" spans="1:9">
      <c r="A9" s="168" t="s">
        <v>20</v>
      </c>
      <c r="B9" s="167" t="s">
        <v>696</v>
      </c>
      <c r="C9" s="169">
        <v>630000</v>
      </c>
      <c r="D9" s="169">
        <v>630000</v>
      </c>
      <c r="E9" s="169">
        <v>630000</v>
      </c>
      <c r="F9" s="169">
        <v>630000</v>
      </c>
      <c r="G9" s="169">
        <v>630000</v>
      </c>
      <c r="H9" s="169">
        <v>630000</v>
      </c>
      <c r="I9" s="169">
        <v>630000</v>
      </c>
    </row>
    <row r="10" spans="1:9" ht="15.75" thickBot="1">
      <c r="A10" s="164" t="s">
        <v>21</v>
      </c>
      <c r="B10" s="170" t="s">
        <v>498</v>
      </c>
      <c r="C10" s="166"/>
      <c r="D10" s="166"/>
      <c r="E10" s="166"/>
      <c r="F10" s="166"/>
      <c r="G10" s="166"/>
      <c r="H10" s="166"/>
      <c r="I10" s="166"/>
    </row>
    <row r="11" spans="1:9" ht="15.75" thickBot="1">
      <c r="A11" s="752" t="s">
        <v>190</v>
      </c>
      <c r="B11" s="753"/>
      <c r="C11" s="171">
        <f t="shared" ref="C11:H11" si="0">SUM(C5:C10)</f>
        <v>122530000</v>
      </c>
      <c r="D11" s="171">
        <f t="shared" si="0"/>
        <v>122530000</v>
      </c>
      <c r="E11" s="171">
        <f t="shared" si="0"/>
        <v>122530000</v>
      </c>
      <c r="F11" s="171">
        <f t="shared" si="0"/>
        <v>122530000</v>
      </c>
      <c r="G11" s="171">
        <f t="shared" si="0"/>
        <v>122530000</v>
      </c>
      <c r="H11" s="171">
        <f t="shared" si="0"/>
        <v>122530000</v>
      </c>
      <c r="I11" s="171">
        <f>SUM(I5:I10)</f>
        <v>122530000</v>
      </c>
    </row>
    <row r="12" spans="1:9" ht="23.25" customHeight="1">
      <c r="A12" s="754" t="s">
        <v>216</v>
      </c>
      <c r="B12" s="754"/>
    </row>
  </sheetData>
  <mergeCells count="3">
    <mergeCell ref="A1:B1"/>
    <mergeCell ref="A11:B11"/>
    <mergeCell ref="A12:B12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8" orientation="landscape" r:id="rId1"/>
  <headerFooter alignWithMargins="0">
    <oddHeader>&amp;R&amp;"Times New Roman CE,Félkövér dőlt"&amp;11 4. melléklet a 2/2019. (II.28.)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zoomScaleNormal="120" workbookViewId="0">
      <selection activeCell="B7" sqref="B7"/>
    </sheetView>
  </sheetViews>
  <sheetFormatPr defaultRowHeight="15"/>
  <cols>
    <col min="1" max="1" width="5.6640625" style="133" customWidth="1"/>
    <col min="2" max="2" width="66.83203125" style="133" customWidth="1"/>
    <col min="3" max="3" width="27" style="133" customWidth="1"/>
    <col min="4" max="16384" width="9.33203125" style="133"/>
  </cols>
  <sheetData>
    <row r="1" spans="1:4" ht="33" customHeight="1">
      <c r="A1" s="743" t="s">
        <v>697</v>
      </c>
      <c r="B1" s="743"/>
      <c r="C1" s="743"/>
    </row>
    <row r="2" spans="1:4" ht="15.95" customHeight="1" thickBot="1">
      <c r="A2" s="134"/>
      <c r="B2" s="134"/>
      <c r="C2" s="135" t="s">
        <v>588</v>
      </c>
      <c r="D2" s="136"/>
    </row>
    <row r="3" spans="1:4" ht="26.25" customHeight="1" thickBot="1">
      <c r="A3" s="137" t="s">
        <v>14</v>
      </c>
      <c r="B3" s="138" t="s">
        <v>191</v>
      </c>
      <c r="C3" s="139" t="s">
        <v>215</v>
      </c>
    </row>
    <row r="4" spans="1:4" ht="15.75" thickBot="1">
      <c r="A4" s="140" t="s">
        <v>485</v>
      </c>
      <c r="B4" s="141" t="s">
        <v>486</v>
      </c>
      <c r="C4" s="142" t="s">
        <v>487</v>
      </c>
    </row>
    <row r="5" spans="1:4">
      <c r="A5" s="143" t="s">
        <v>16</v>
      </c>
      <c r="B5" s="144"/>
      <c r="C5" s="145"/>
    </row>
    <row r="6" spans="1:4">
      <c r="A6" s="146" t="s">
        <v>17</v>
      </c>
      <c r="B6" s="147"/>
      <c r="C6" s="148"/>
    </row>
    <row r="7" spans="1:4" ht="15.75" thickBot="1">
      <c r="A7" s="149" t="s">
        <v>18</v>
      </c>
      <c r="B7" s="150"/>
      <c r="C7" s="151"/>
    </row>
    <row r="8" spans="1:4" s="155" customFormat="1" ht="17.25" customHeight="1" thickBot="1">
      <c r="A8" s="152" t="s">
        <v>19</v>
      </c>
      <c r="B8" s="153" t="s">
        <v>192</v>
      </c>
      <c r="C8" s="154">
        <f>SUM(C5:C7)</f>
        <v>0</v>
      </c>
    </row>
  </sheetData>
  <mergeCells count="1">
    <mergeCell ref="A1:C1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2/2019. (II.28.)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22</vt:i4>
      </vt:variant>
    </vt:vector>
  </HeadingPairs>
  <TitlesOfParts>
    <vt:vector size="56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2019-02-18T12:31:03Z</cp:lastPrinted>
  <dcterms:created xsi:type="dcterms:W3CDTF">1999-10-30T10:30:45Z</dcterms:created>
  <dcterms:modified xsi:type="dcterms:W3CDTF">2019-03-05T07:42:37Z</dcterms:modified>
</cp:coreProperties>
</file>