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490" windowHeight="7320" tabRatio="824" activeTab="25"/>
  </bookViews>
  <sheets>
    <sheet name="1" sheetId="53" r:id="rId1"/>
    <sheet name="2" sheetId="49" r:id="rId2"/>
    <sheet name="2a" sheetId="46" r:id="rId3"/>
    <sheet name="2b" sheetId="41" r:id="rId4"/>
    <sheet name="3" sheetId="57" r:id="rId5"/>
    <sheet name="4" sheetId="48" r:id="rId6"/>
    <sheet name="4önk" sheetId="43" r:id="rId7"/>
    <sheet name="4ovi" sheetId="45" r:id="rId8"/>
    <sheet name="5" sheetId="50" r:id="rId9"/>
    <sheet name="6" sheetId="52" r:id="rId10"/>
    <sheet name="7" sheetId="59" r:id="rId11"/>
    <sheet name="8" sheetId="54" r:id="rId12"/>
    <sheet name="9" sheetId="58" r:id="rId13"/>
    <sheet name="10" sheetId="44" r:id="rId14"/>
    <sheet name="11" sheetId="55" r:id="rId15"/>
    <sheet name="12" sheetId="42" r:id="rId16"/>
    <sheet name="13" sheetId="51" r:id="rId17"/>
    <sheet name="14" sheetId="56" r:id="rId18"/>
    <sheet name="15" sheetId="60" r:id="rId19"/>
    <sheet name="16" sheetId="61" r:id="rId20"/>
    <sheet name="17" sheetId="62" r:id="rId21"/>
    <sheet name="18" sheetId="63" r:id="rId22"/>
    <sheet name="19" sheetId="64" r:id="rId23"/>
    <sheet name="21" sheetId="66" r:id="rId24"/>
    <sheet name="20" sheetId="65" r:id="rId25"/>
    <sheet name="22" sheetId="67" r:id="rId26"/>
  </sheets>
  <externalReferences>
    <externalReference r:id="rId27"/>
    <externalReference r:id="rId28"/>
  </externalReferences>
  <definedNames>
    <definedName name="beruh">'[1]4.1. táj.'!#REF!</definedName>
    <definedName name="intézmények">'[2]4.1. táj.'!#REF!</definedName>
    <definedName name="_xlnm.Print_Titles" localSheetId="13">'10'!$1:$7</definedName>
    <definedName name="_xlnm.Print_Titles" localSheetId="2">'2a'!$1:$8</definedName>
    <definedName name="_xlnm.Print_Area" localSheetId="13">'10'!$A$1:$F$47</definedName>
    <definedName name="_xlnm.Print_Area" localSheetId="16">'13'!$A$1:$D$11</definedName>
    <definedName name="_xlnm.Print_Area" localSheetId="1">'2'!$A$1:$F$55</definedName>
    <definedName name="_xlnm.Print_Area" localSheetId="2">'2a'!$A$1:$M$25</definedName>
    <definedName name="_xlnm.Print_Area" localSheetId="3">'2b'!$A$1:$E$18</definedName>
    <definedName name="_xlnm.Print_Area" localSheetId="5">'4'!$A$1:$M$43</definedName>
    <definedName name="_xlnm.Print_Area" localSheetId="7">'4ovi'!$A$1:$G$48</definedName>
    <definedName name="_xlnm.Print_Area" localSheetId="6">'4önk'!$A$1:$H$43</definedName>
    <definedName name="_xlnm.Print_Area" localSheetId="8">'5'!$A$1:$H$25</definedName>
    <definedName name="_xlnm.Print_Area" localSheetId="9">'6'!$A$1:$E$13</definedName>
    <definedName name="_xlnm.Print_Area" localSheetId="10">'7'!$A$1:$N$27</definedName>
    <definedName name="_xlnm.Print_Area" localSheetId="11">'8'!$A$1:$E$29</definedName>
  </definedNames>
  <calcPr calcId="145621"/>
</workbook>
</file>

<file path=xl/calcChain.xml><?xml version="1.0" encoding="utf-8"?>
<calcChain xmlns="http://schemas.openxmlformats.org/spreadsheetml/2006/main">
  <c r="I30" i="48" l="1"/>
  <c r="L30" i="48"/>
  <c r="D26" i="63"/>
  <c r="C26" i="63"/>
  <c r="I25" i="61"/>
  <c r="F24" i="61"/>
  <c r="G24" i="61"/>
  <c r="H24" i="61"/>
  <c r="I24" i="61"/>
  <c r="E24" i="61"/>
  <c r="I22" i="61"/>
  <c r="F17" i="61"/>
  <c r="G17" i="61"/>
  <c r="H17" i="61"/>
  <c r="E17" i="61"/>
  <c r="I13" i="61"/>
  <c r="I10" i="61"/>
  <c r="D69" i="60"/>
  <c r="C69" i="60"/>
  <c r="D68" i="60"/>
  <c r="C68" i="60"/>
  <c r="D65" i="60"/>
  <c r="C64" i="60"/>
  <c r="C65" i="60" s="1"/>
  <c r="D64" i="60"/>
  <c r="D61" i="60"/>
  <c r="C61" i="60"/>
  <c r="D58" i="60"/>
  <c r="C58" i="60"/>
  <c r="D54" i="60"/>
  <c r="D27" i="60"/>
  <c r="D19" i="60"/>
  <c r="C19" i="60"/>
  <c r="D16" i="60"/>
  <c r="C16" i="60"/>
  <c r="D9" i="60"/>
  <c r="D29" i="67"/>
  <c r="E29" i="67"/>
  <c r="C29" i="67"/>
  <c r="D22" i="67"/>
  <c r="E22" i="67"/>
  <c r="C22" i="67"/>
  <c r="F16" i="65"/>
  <c r="G16" i="65"/>
  <c r="H16" i="65"/>
  <c r="I16" i="65"/>
  <c r="I14" i="65"/>
  <c r="G14" i="65"/>
  <c r="H14" i="65"/>
  <c r="I13" i="65"/>
  <c r="I9" i="65"/>
  <c r="D35" i="64"/>
  <c r="C35" i="64"/>
  <c r="D27" i="64"/>
  <c r="D28" i="64" s="1"/>
  <c r="C27" i="64"/>
  <c r="C28" i="64" s="1"/>
  <c r="C23" i="64"/>
  <c r="D22" i="64"/>
  <c r="D23" i="64" s="1"/>
  <c r="D14" i="64"/>
  <c r="E18" i="67"/>
  <c r="D18" i="67"/>
  <c r="C18" i="67"/>
  <c r="E15" i="67"/>
  <c r="D15" i="67"/>
  <c r="C15" i="67"/>
  <c r="E11" i="67"/>
  <c r="D11" i="67"/>
  <c r="C11" i="67"/>
  <c r="C11" i="66"/>
  <c r="C15" i="66" s="1"/>
  <c r="I21" i="65"/>
  <c r="H21" i="65"/>
  <c r="G21" i="65"/>
  <c r="F21" i="65"/>
  <c r="E21" i="65"/>
  <c r="F17" i="65"/>
  <c r="F23" i="65" s="1"/>
  <c r="E16" i="65"/>
  <c r="D16" i="65"/>
  <c r="I15" i="65"/>
  <c r="H17" i="65"/>
  <c r="H23" i="65" s="1"/>
  <c r="G17" i="65"/>
  <c r="G23" i="65" s="1"/>
  <c r="F14" i="65"/>
  <c r="E14" i="65"/>
  <c r="E17" i="65" s="1"/>
  <c r="D14" i="65"/>
  <c r="I12" i="65"/>
  <c r="I11" i="65"/>
  <c r="I10" i="65"/>
  <c r="D38" i="64"/>
  <c r="C38" i="64"/>
  <c r="C18" i="64"/>
  <c r="D18" i="64"/>
  <c r="C16" i="64"/>
  <c r="D16" i="64"/>
  <c r="C10" i="64"/>
  <c r="C11" i="64" s="1"/>
  <c r="D10" i="64"/>
  <c r="D11" i="64" s="1"/>
  <c r="C32" i="63"/>
  <c r="D32" i="63"/>
  <c r="E23" i="63"/>
  <c r="E26" i="63" s="1"/>
  <c r="E32" i="63" s="1"/>
  <c r="C23" i="63"/>
  <c r="E19" i="63"/>
  <c r="D19" i="63"/>
  <c r="C19" i="63"/>
  <c r="E16" i="63"/>
  <c r="D16" i="63"/>
  <c r="C16" i="63"/>
  <c r="E11" i="63"/>
  <c r="D11" i="63"/>
  <c r="C11" i="63"/>
  <c r="C13" i="62"/>
  <c r="C10" i="62"/>
  <c r="C14" i="62" s="1"/>
  <c r="I23" i="61"/>
  <c r="G23" i="61"/>
  <c r="H22" i="61"/>
  <c r="H23" i="61" s="1"/>
  <c r="G22" i="61"/>
  <c r="F22" i="61"/>
  <c r="F23" i="61" s="1"/>
  <c r="E22" i="61"/>
  <c r="E23" i="61" s="1"/>
  <c r="D22" i="61"/>
  <c r="D23" i="61" s="1"/>
  <c r="C22" i="61"/>
  <c r="C23" i="61" s="1"/>
  <c r="I21" i="61"/>
  <c r="I20" i="61"/>
  <c r="I19" i="61"/>
  <c r="C17" i="61"/>
  <c r="I16" i="61"/>
  <c r="I17" i="61" s="1"/>
  <c r="H15" i="61"/>
  <c r="H18" i="61" s="1"/>
  <c r="G15" i="61"/>
  <c r="G18" i="61" s="1"/>
  <c r="F15" i="61"/>
  <c r="E15" i="61"/>
  <c r="E18" i="61" s="1"/>
  <c r="D15" i="61"/>
  <c r="D18" i="61" s="1"/>
  <c r="C15" i="61"/>
  <c r="I14" i="61"/>
  <c r="I12" i="61"/>
  <c r="I11" i="61"/>
  <c r="C54" i="60"/>
  <c r="C45" i="60"/>
  <c r="D45" i="60"/>
  <c r="C27" i="60"/>
  <c r="C25" i="60"/>
  <c r="D25" i="60"/>
  <c r="D28" i="60" s="1"/>
  <c r="C13" i="60"/>
  <c r="D13" i="60"/>
  <c r="C9" i="60"/>
  <c r="D24" i="61" l="1"/>
  <c r="F18" i="61"/>
  <c r="I15" i="61"/>
  <c r="I18" i="61" s="1"/>
  <c r="C18" i="61"/>
  <c r="C24" i="61" s="1"/>
  <c r="C20" i="60"/>
  <c r="D20" i="60"/>
  <c r="D48" i="60" s="1"/>
  <c r="C28" i="60"/>
  <c r="I17" i="65"/>
  <c r="C19" i="64"/>
  <c r="C29" i="64" s="1"/>
  <c r="D39" i="64"/>
  <c r="D19" i="64"/>
  <c r="D29" i="64" s="1"/>
  <c r="C39" i="64"/>
  <c r="C48" i="60" l="1"/>
  <c r="G59" i="58"/>
  <c r="H15" i="58"/>
  <c r="G15" i="58"/>
  <c r="D24" i="59"/>
  <c r="O27" i="59"/>
  <c r="C27" i="59"/>
  <c r="D27" i="59"/>
  <c r="E27" i="59"/>
  <c r="F27" i="59"/>
  <c r="G27" i="59"/>
  <c r="H27" i="59"/>
  <c r="I27" i="59"/>
  <c r="J27" i="59"/>
  <c r="K27" i="59"/>
  <c r="L27" i="59"/>
  <c r="M27" i="59"/>
  <c r="B27" i="59"/>
  <c r="G24" i="59"/>
  <c r="N22" i="59"/>
  <c r="N23" i="59"/>
  <c r="M13" i="59"/>
  <c r="M10" i="59"/>
  <c r="B10" i="59"/>
  <c r="C10" i="59"/>
  <c r="D10" i="59"/>
  <c r="E10" i="59"/>
  <c r="F10" i="59"/>
  <c r="G10" i="59"/>
  <c r="H10" i="59"/>
  <c r="I10" i="59"/>
  <c r="J10" i="59"/>
  <c r="K10" i="59"/>
  <c r="L10" i="59"/>
  <c r="N27" i="59" l="1"/>
  <c r="F9" i="57"/>
  <c r="F10" i="57"/>
  <c r="F20" i="57"/>
  <c r="F30" i="57"/>
  <c r="I30" i="57"/>
  <c r="I34" i="57"/>
  <c r="I9" i="57"/>
  <c r="H20" i="57"/>
  <c r="I28" i="57"/>
  <c r="I29" i="57"/>
  <c r="E20" i="54"/>
  <c r="E21" i="54" s="1"/>
  <c r="D9" i="50"/>
  <c r="E27" i="54"/>
  <c r="C11" i="46"/>
  <c r="E43" i="49"/>
  <c r="E42" i="49" s="1"/>
  <c r="F43" i="49"/>
  <c r="F42" i="49" s="1"/>
  <c r="D42" i="49"/>
  <c r="C42" i="49"/>
  <c r="E50" i="49"/>
  <c r="D50" i="49"/>
  <c r="D43" i="49"/>
  <c r="D10" i="49"/>
  <c r="D8" i="49" s="1"/>
  <c r="D48" i="49" s="1"/>
  <c r="E14" i="41"/>
  <c r="E12" i="41"/>
  <c r="E7" i="41"/>
  <c r="D39" i="49"/>
  <c r="D15" i="49"/>
  <c r="F34" i="57" l="1"/>
  <c r="D55" i="49"/>
  <c r="E17" i="41"/>
  <c r="F32" i="44"/>
  <c r="F33" i="44"/>
  <c r="F34" i="44"/>
  <c r="F39" i="44"/>
  <c r="F37" i="44" s="1"/>
  <c r="F9" i="44"/>
  <c r="F15" i="44"/>
  <c r="E28" i="54"/>
  <c r="E13" i="52"/>
  <c r="H18" i="50"/>
  <c r="H24" i="50"/>
  <c r="D24" i="50"/>
  <c r="D18" i="50"/>
  <c r="G11" i="45"/>
  <c r="G10" i="45" s="1"/>
  <c r="G19" i="45"/>
  <c r="G47" i="45" s="1"/>
  <c r="G43" i="45"/>
  <c r="H11" i="43"/>
  <c r="H10" i="43" s="1"/>
  <c r="H20" i="43"/>
  <c r="H42" i="43" s="1"/>
  <c r="L11" i="48"/>
  <c r="L10" i="48" s="1"/>
  <c r="M12" i="48"/>
  <c r="M13" i="48"/>
  <c r="M14" i="48"/>
  <c r="K15" i="48"/>
  <c r="M15" i="48" s="1"/>
  <c r="M16" i="48"/>
  <c r="M17" i="48"/>
  <c r="M18" i="48"/>
  <c r="M19" i="48"/>
  <c r="K20" i="48"/>
  <c r="M20" i="48" s="1"/>
  <c r="M21" i="48"/>
  <c r="M22" i="48"/>
  <c r="K23" i="48"/>
  <c r="M24" i="48"/>
  <c r="M25" i="48"/>
  <c r="M26" i="48"/>
  <c r="M27" i="48"/>
  <c r="M28" i="48"/>
  <c r="M29" i="48"/>
  <c r="M31" i="48"/>
  <c r="M32" i="48"/>
  <c r="M33" i="48"/>
  <c r="M34" i="48"/>
  <c r="M35" i="48"/>
  <c r="M36" i="48"/>
  <c r="M37" i="48"/>
  <c r="M38" i="48"/>
  <c r="M39" i="48"/>
  <c r="L42" i="48"/>
  <c r="H41" i="43" l="1"/>
  <c r="H30" i="43"/>
  <c r="D25" i="50"/>
  <c r="K42" i="48"/>
  <c r="M42" i="48" s="1"/>
  <c r="F27" i="44"/>
  <c r="F31" i="44"/>
  <c r="F44" i="44"/>
  <c r="E29" i="54"/>
  <c r="H25" i="50"/>
  <c r="G46" i="45"/>
  <c r="G48" i="45" s="1"/>
  <c r="G35" i="45"/>
  <c r="G44" i="45" s="1"/>
  <c r="H39" i="43"/>
  <c r="H43" i="43"/>
  <c r="L41" i="48"/>
  <c r="L43" i="48" s="1"/>
  <c r="K11" i="48"/>
  <c r="B48" i="49"/>
  <c r="B55" i="49"/>
  <c r="K10" i="48" l="1"/>
  <c r="M11" i="48"/>
  <c r="E32" i="44"/>
  <c r="E33" i="44"/>
  <c r="E34" i="44"/>
  <c r="E39" i="44"/>
  <c r="E37" i="44" s="1"/>
  <c r="N13" i="59"/>
  <c r="G18" i="50"/>
  <c r="G25" i="50" s="1"/>
  <c r="E10" i="46"/>
  <c r="G24" i="50"/>
  <c r="C24" i="50"/>
  <c r="C18" i="50"/>
  <c r="K41" i="48" l="1"/>
  <c r="K30" i="48"/>
  <c r="E31" i="44"/>
  <c r="M10" i="48"/>
  <c r="M30" i="48" s="1"/>
  <c r="E44" i="44"/>
  <c r="C25" i="50"/>
  <c r="M41" i="48" l="1"/>
  <c r="M43" i="48" s="1"/>
  <c r="K43" i="48"/>
  <c r="H33" i="57"/>
  <c r="H30" i="57"/>
  <c r="E28" i="57"/>
  <c r="E30" i="57"/>
  <c r="E20" i="57"/>
  <c r="H28" i="57"/>
  <c r="H34" i="57"/>
  <c r="H9" i="57"/>
  <c r="H21" i="57"/>
  <c r="G28" i="57"/>
  <c r="C43" i="49"/>
  <c r="C48" i="49"/>
  <c r="C55" i="49" s="1"/>
  <c r="B8" i="49" l="1"/>
  <c r="B9" i="49"/>
  <c r="E34" i="57" l="1"/>
  <c r="D28" i="54"/>
  <c r="D20" i="54"/>
  <c r="D17" i="54"/>
  <c r="D21" i="54" s="1"/>
  <c r="D9" i="52"/>
  <c r="D29" i="54" l="1"/>
  <c r="D13" i="52"/>
  <c r="B50" i="49"/>
  <c r="C8" i="49"/>
  <c r="E9" i="44"/>
  <c r="E15" i="44"/>
  <c r="I42" i="48"/>
  <c r="F48" i="45"/>
  <c r="F47" i="45"/>
  <c r="F46" i="45"/>
  <c r="F44" i="45"/>
  <c r="F43" i="45"/>
  <c r="F19" i="45"/>
  <c r="F11" i="45"/>
  <c r="F10" i="45" s="1"/>
  <c r="F35" i="45" s="1"/>
  <c r="D20" i="45"/>
  <c r="D12" i="45"/>
  <c r="F21" i="48"/>
  <c r="H20" i="48"/>
  <c r="J20" i="48" s="1"/>
  <c r="H23" i="48"/>
  <c r="J12" i="48"/>
  <c r="J13" i="48"/>
  <c r="J14" i="48"/>
  <c r="J16" i="48"/>
  <c r="J17" i="48"/>
  <c r="J18" i="48"/>
  <c r="J19" i="48"/>
  <c r="J21" i="48"/>
  <c r="J22" i="48"/>
  <c r="J24" i="48"/>
  <c r="J25" i="48"/>
  <c r="J26" i="48"/>
  <c r="J27" i="48"/>
  <c r="J28" i="48"/>
  <c r="J29" i="48"/>
  <c r="J31" i="48"/>
  <c r="J32" i="48"/>
  <c r="J33" i="48"/>
  <c r="J34" i="48"/>
  <c r="J35" i="48"/>
  <c r="J36" i="48"/>
  <c r="J37" i="48"/>
  <c r="J38" i="48"/>
  <c r="J39" i="48"/>
  <c r="H15" i="48"/>
  <c r="J15" i="48" s="1"/>
  <c r="I11" i="48"/>
  <c r="I10" i="48" s="1"/>
  <c r="I41" i="48" l="1"/>
  <c r="I43" i="48" s="1"/>
  <c r="E27" i="44"/>
  <c r="H42" i="48"/>
  <c r="J42" i="48" s="1"/>
  <c r="H11" i="48"/>
  <c r="F23" i="43"/>
  <c r="G20" i="43"/>
  <c r="G42" i="43" s="1"/>
  <c r="G11" i="43"/>
  <c r="G10" i="43" s="1"/>
  <c r="G27" i="43"/>
  <c r="M13" i="46"/>
  <c r="M14" i="46"/>
  <c r="M15" i="46"/>
  <c r="M16" i="46"/>
  <c r="M17" i="46"/>
  <c r="M18" i="46"/>
  <c r="M19" i="46"/>
  <c r="M20" i="46"/>
  <c r="C39" i="49"/>
  <c r="F10" i="46"/>
  <c r="F22" i="46"/>
  <c r="C50" i="49"/>
  <c r="D7" i="41"/>
  <c r="D17" i="41" s="1"/>
  <c r="D12" i="41"/>
  <c r="D14" i="41"/>
  <c r="C10" i="49"/>
  <c r="E39" i="49"/>
  <c r="E15" i="49"/>
  <c r="C15" i="49"/>
  <c r="G30" i="43" l="1"/>
  <c r="G41" i="43"/>
  <c r="G43" i="43"/>
  <c r="G39" i="43"/>
  <c r="H10" i="48"/>
  <c r="J11" i="48"/>
  <c r="I28" i="43"/>
  <c r="C28" i="54"/>
  <c r="C20" i="54"/>
  <c r="D10" i="44"/>
  <c r="H35" i="45"/>
  <c r="H41" i="48" l="1"/>
  <c r="H30" i="48"/>
  <c r="J10" i="48"/>
  <c r="J30" i="48" s="1"/>
  <c r="G8" i="55"/>
  <c r="G9" i="55"/>
  <c r="G7" i="55"/>
  <c r="H43" i="48" l="1"/>
  <c r="J41" i="48"/>
  <c r="J43" i="48" s="1"/>
  <c r="F50" i="49"/>
  <c r="I35" i="45" l="1"/>
  <c r="J35" i="45"/>
  <c r="K35" i="45"/>
  <c r="C14" i="41" l="1"/>
  <c r="B39" i="49"/>
  <c r="D50" i="58" l="1"/>
  <c r="D59" i="58" s="1"/>
  <c r="F50" i="58"/>
  <c r="F59" i="58" s="1"/>
  <c r="H59" i="58"/>
  <c r="J50" i="58"/>
  <c r="J59" i="58" s="1"/>
  <c r="I59" i="58"/>
  <c r="I17" i="58"/>
  <c r="J17" i="58"/>
  <c r="C21" i="54"/>
  <c r="F37" i="48"/>
  <c r="F36" i="48"/>
  <c r="F35" i="48"/>
  <c r="F33" i="48"/>
  <c r="F32" i="48"/>
  <c r="F29" i="48"/>
  <c r="F28" i="48"/>
  <c r="F26" i="48"/>
  <c r="F24" i="48"/>
  <c r="F22" i="48"/>
  <c r="F19" i="48"/>
  <c r="F18" i="48"/>
  <c r="F15" i="48"/>
  <c r="F16" i="48"/>
  <c r="E37" i="43"/>
  <c r="E37" i="48" s="1"/>
  <c r="E36" i="43"/>
  <c r="E36" i="48" s="1"/>
  <c r="E35" i="43"/>
  <c r="E35" i="48" s="1"/>
  <c r="E33" i="43"/>
  <c r="E33" i="48" s="1"/>
  <c r="E32" i="43"/>
  <c r="E32" i="48" s="1"/>
  <c r="E29" i="43"/>
  <c r="E29" i="48" s="1"/>
  <c r="E28" i="48"/>
  <c r="E26" i="43"/>
  <c r="E26" i="48" s="1"/>
  <c r="E24" i="48"/>
  <c r="E22" i="43"/>
  <c r="E22" i="48" s="1"/>
  <c r="E21" i="43"/>
  <c r="E13" i="43"/>
  <c r="E13" i="48" s="1"/>
  <c r="E14" i="43"/>
  <c r="E14" i="48" s="1"/>
  <c r="E15" i="43"/>
  <c r="E15" i="48" s="1"/>
  <c r="E16" i="48"/>
  <c r="E18" i="48"/>
  <c r="E19" i="48"/>
  <c r="E12" i="43"/>
  <c r="J39" i="43"/>
  <c r="K39" i="43"/>
  <c r="L39" i="43"/>
  <c r="M39" i="43"/>
  <c r="N39" i="43"/>
  <c r="O39" i="43"/>
  <c r="P39" i="43"/>
  <c r="Q39" i="43"/>
  <c r="R39" i="43"/>
  <c r="S39" i="43"/>
  <c r="T39" i="43"/>
  <c r="U39" i="43"/>
  <c r="V39" i="43"/>
  <c r="W39" i="43"/>
  <c r="X39" i="43"/>
  <c r="Y39" i="43"/>
  <c r="Z39" i="43"/>
  <c r="AA39" i="43"/>
  <c r="I39" i="43"/>
  <c r="D13" i="45"/>
  <c r="E13" i="45" s="1"/>
  <c r="D33" i="44" s="1"/>
  <c r="D14" i="45"/>
  <c r="E14" i="45" s="1"/>
  <c r="D34" i="44" s="1"/>
  <c r="E12" i="45"/>
  <c r="D32" i="44" s="1"/>
  <c r="B10" i="55"/>
  <c r="C10" i="55"/>
  <c r="D10" i="55"/>
  <c r="E10" i="55"/>
  <c r="B23" i="50"/>
  <c r="B15" i="50"/>
  <c r="D17" i="58" s="1"/>
  <c r="D15" i="44"/>
  <c r="D25" i="58"/>
  <c r="E25" i="58"/>
  <c r="F25" i="58"/>
  <c r="G25" i="58"/>
  <c r="H25" i="58"/>
  <c r="I25" i="58"/>
  <c r="J25" i="58"/>
  <c r="C25" i="58"/>
  <c r="E15" i="45"/>
  <c r="E16" i="45"/>
  <c r="E17" i="45"/>
  <c r="E18" i="45"/>
  <c r="E20" i="45"/>
  <c r="E21" i="45"/>
  <c r="E22" i="45"/>
  <c r="E25" i="45"/>
  <c r="E26" i="45"/>
  <c r="E28" i="45"/>
  <c r="E29" i="45"/>
  <c r="E31" i="45"/>
  <c r="E33" i="45"/>
  <c r="E34" i="45"/>
  <c r="E37" i="45"/>
  <c r="E38" i="45"/>
  <c r="E40" i="45"/>
  <c r="E41" i="45"/>
  <c r="E42" i="45"/>
  <c r="E45" i="45"/>
  <c r="D39" i="45"/>
  <c r="D36" i="45"/>
  <c r="E36" i="45" s="1"/>
  <c r="D32" i="45"/>
  <c r="E32" i="45" s="1"/>
  <c r="D27" i="45"/>
  <c r="E27" i="45" s="1"/>
  <c r="D24" i="45"/>
  <c r="D19" i="45"/>
  <c r="D47" i="45" s="1"/>
  <c r="E47" i="45" s="1"/>
  <c r="E12" i="48" l="1"/>
  <c r="E11" i="43"/>
  <c r="E10" i="43" s="1"/>
  <c r="E21" i="48"/>
  <c r="E20" i="48" s="1"/>
  <c r="E20" i="43"/>
  <c r="E42" i="43" s="1"/>
  <c r="E11" i="48"/>
  <c r="E10" i="48" s="1"/>
  <c r="D43" i="45"/>
  <c r="E43" i="45" s="1"/>
  <c r="F10" i="55"/>
  <c r="G10" i="55" s="1"/>
  <c r="C29" i="54"/>
  <c r="F13" i="48"/>
  <c r="G13" i="48" s="1"/>
  <c r="D11" i="45"/>
  <c r="E11" i="45" s="1"/>
  <c r="D23" i="45"/>
  <c r="E23" i="45" s="1"/>
  <c r="E39" i="45"/>
  <c r="F14" i="48"/>
  <c r="G14" i="48" s="1"/>
  <c r="E19" i="45"/>
  <c r="D30" i="45"/>
  <c r="E30" i="45" s="1"/>
  <c r="E24" i="45"/>
  <c r="F12" i="48"/>
  <c r="D10" i="45"/>
  <c r="D46" i="45" s="1"/>
  <c r="D48" i="45" s="1"/>
  <c r="E48" i="45" s="1"/>
  <c r="E31" i="43"/>
  <c r="E34" i="43"/>
  <c r="D34" i="43"/>
  <c r="D31" i="43"/>
  <c r="D27" i="43"/>
  <c r="D34" i="48"/>
  <c r="E34" i="48"/>
  <c r="F34" i="48"/>
  <c r="D31" i="48"/>
  <c r="E31" i="48"/>
  <c r="F31" i="48"/>
  <c r="D27" i="48"/>
  <c r="D25" i="48" s="1"/>
  <c r="D34" i="57"/>
  <c r="M24" i="46"/>
  <c r="B43" i="49"/>
  <c r="B42" i="49" s="1"/>
  <c r="F15" i="49"/>
  <c r="M11" i="46"/>
  <c r="E25" i="46"/>
  <c r="B24" i="50" s="1"/>
  <c r="F25" i="46"/>
  <c r="G25" i="46"/>
  <c r="B12" i="50" s="1"/>
  <c r="H25" i="46"/>
  <c r="I25" i="46"/>
  <c r="K25" i="46"/>
  <c r="L25" i="46"/>
  <c r="C25" i="46"/>
  <c r="D39" i="44"/>
  <c r="D37" i="44" s="1"/>
  <c r="D22" i="44"/>
  <c r="D9" i="44"/>
  <c r="C13" i="52"/>
  <c r="F12" i="43"/>
  <c r="F13" i="43"/>
  <c r="F14" i="43"/>
  <c r="F15" i="43"/>
  <c r="F16" i="43"/>
  <c r="F18" i="43"/>
  <c r="F19" i="43"/>
  <c r="F21" i="43"/>
  <c r="F22" i="43"/>
  <c r="F26" i="43"/>
  <c r="F28" i="43"/>
  <c r="F29" i="43"/>
  <c r="F32" i="43"/>
  <c r="F33" i="43"/>
  <c r="F35" i="43"/>
  <c r="F36" i="43"/>
  <c r="F37" i="43"/>
  <c r="E27" i="43"/>
  <c r="E25" i="43" s="1"/>
  <c r="D20" i="43"/>
  <c r="D42" i="43" s="1"/>
  <c r="D11" i="43"/>
  <c r="D10" i="43" s="1"/>
  <c r="F27" i="48"/>
  <c r="E27" i="48"/>
  <c r="E25" i="48" s="1"/>
  <c r="F20" i="48"/>
  <c r="F42" i="48" s="1"/>
  <c r="D20" i="48"/>
  <c r="D42" i="48" s="1"/>
  <c r="D11" i="48"/>
  <c r="D10" i="48" s="1"/>
  <c r="G16" i="48"/>
  <c r="G18" i="48"/>
  <c r="G19" i="48"/>
  <c r="G21" i="48"/>
  <c r="G22" i="48"/>
  <c r="G24" i="48"/>
  <c r="G28" i="48"/>
  <c r="G32" i="48"/>
  <c r="G33" i="48"/>
  <c r="G35" i="48"/>
  <c r="G36" i="48"/>
  <c r="G37" i="48"/>
  <c r="C12" i="41"/>
  <c r="C7" i="41"/>
  <c r="E10" i="49"/>
  <c r="E8" i="49" s="1"/>
  <c r="E48" i="49" s="1"/>
  <c r="E55" i="49" s="1"/>
  <c r="B10" i="49"/>
  <c r="B15" i="49"/>
  <c r="C11" i="51"/>
  <c r="D11" i="51"/>
  <c r="F10" i="49"/>
  <c r="F8" i="49" s="1"/>
  <c r="G26" i="48"/>
  <c r="G29" i="48"/>
  <c r="M10" i="46"/>
  <c r="M12" i="46"/>
  <c r="M21" i="46"/>
  <c r="M22" i="46"/>
  <c r="M23" i="46"/>
  <c r="G23" i="57" s="1"/>
  <c r="E30" i="43" l="1"/>
  <c r="E41" i="43"/>
  <c r="E30" i="48"/>
  <c r="E41" i="48"/>
  <c r="E43" i="48" s="1"/>
  <c r="E42" i="48"/>
  <c r="G42" i="48" s="1"/>
  <c r="D38" i="48"/>
  <c r="D38" i="43"/>
  <c r="F38" i="48"/>
  <c r="F34" i="43"/>
  <c r="J25" i="46"/>
  <c r="O14" i="59" s="1"/>
  <c r="D35" i="45"/>
  <c r="D44" i="45" s="1"/>
  <c r="E44" i="45" s="1"/>
  <c r="F11" i="48"/>
  <c r="F10" i="48" s="1"/>
  <c r="F30" i="48" s="1"/>
  <c r="G12" i="48"/>
  <c r="C42" i="58" s="1"/>
  <c r="C46" i="58"/>
  <c r="F11" i="43"/>
  <c r="D15" i="58"/>
  <c r="F48" i="49"/>
  <c r="F55" i="49" s="1"/>
  <c r="E38" i="48"/>
  <c r="D47" i="58"/>
  <c r="F47" i="58" s="1"/>
  <c r="J47" i="58" s="1"/>
  <c r="C48" i="58"/>
  <c r="C45" i="58"/>
  <c r="F31" i="43"/>
  <c r="D14" i="58"/>
  <c r="F14" i="58" s="1"/>
  <c r="J14" i="58" s="1"/>
  <c r="F10" i="50"/>
  <c r="C43" i="58"/>
  <c r="N24" i="59"/>
  <c r="F20" i="50"/>
  <c r="C50" i="58"/>
  <c r="C44" i="58"/>
  <c r="F11" i="50"/>
  <c r="D12" i="58"/>
  <c r="G15" i="48"/>
  <c r="E46" i="45"/>
  <c r="E10" i="45"/>
  <c r="G31" i="48"/>
  <c r="F27" i="43"/>
  <c r="E38" i="43"/>
  <c r="E39" i="43" s="1"/>
  <c r="D25" i="43"/>
  <c r="D30" i="43" s="1"/>
  <c r="F20" i="43"/>
  <c r="F42" i="43"/>
  <c r="D41" i="43"/>
  <c r="G34" i="48"/>
  <c r="F25" i="48"/>
  <c r="G27" i="48"/>
  <c r="G20" i="48"/>
  <c r="D41" i="48"/>
  <c r="D30" i="48"/>
  <c r="C17" i="41"/>
  <c r="D31" i="44"/>
  <c r="D44" i="44" s="1"/>
  <c r="E39" i="48" l="1"/>
  <c r="F39" i="48"/>
  <c r="G38" i="48"/>
  <c r="G11" i="48"/>
  <c r="C17" i="58"/>
  <c r="O15" i="59"/>
  <c r="F41" i="48"/>
  <c r="F43" i="48" s="1"/>
  <c r="E43" i="43"/>
  <c r="F38" i="43"/>
  <c r="F25" i="43"/>
  <c r="B14" i="59"/>
  <c r="N14" i="59" s="1"/>
  <c r="F9" i="50"/>
  <c r="F18" i="50" s="1"/>
  <c r="G10" i="48"/>
  <c r="E35" i="45"/>
  <c r="F17" i="59"/>
  <c r="E20" i="59"/>
  <c r="C20" i="59"/>
  <c r="H20" i="59"/>
  <c r="B20" i="59"/>
  <c r="L20" i="59"/>
  <c r="D20" i="59"/>
  <c r="J20" i="59"/>
  <c r="F20" i="59"/>
  <c r="K20" i="59"/>
  <c r="G20" i="59"/>
  <c r="M20" i="59"/>
  <c r="I20" i="59"/>
  <c r="C12" i="58"/>
  <c r="F9" i="59"/>
  <c r="J9" i="59"/>
  <c r="B9" i="59"/>
  <c r="C9" i="59"/>
  <c r="G9" i="59"/>
  <c r="K9" i="59"/>
  <c r="M9" i="59"/>
  <c r="D9" i="59"/>
  <c r="H9" i="59"/>
  <c r="L9" i="59"/>
  <c r="E9" i="59"/>
  <c r="I9" i="59"/>
  <c r="C59" i="58"/>
  <c r="E43" i="58"/>
  <c r="I43" i="58" s="1"/>
  <c r="D43" i="58"/>
  <c r="F43" i="58" s="1"/>
  <c r="J43" i="58" s="1"/>
  <c r="E45" i="58"/>
  <c r="I45" i="58" s="1"/>
  <c r="D45" i="58"/>
  <c r="F45" i="58" s="1"/>
  <c r="J45" i="58" s="1"/>
  <c r="M9" i="46"/>
  <c r="G34" i="57" s="1"/>
  <c r="D25" i="46"/>
  <c r="C18" i="59"/>
  <c r="F18" i="59"/>
  <c r="B18" i="59"/>
  <c r="J18" i="59"/>
  <c r="D18" i="59"/>
  <c r="E18" i="59"/>
  <c r="M18" i="59"/>
  <c r="I18" i="59"/>
  <c r="H18" i="59"/>
  <c r="G18" i="59"/>
  <c r="L18" i="59"/>
  <c r="K18" i="59"/>
  <c r="F24" i="50"/>
  <c r="B12" i="59"/>
  <c r="C15" i="58"/>
  <c r="C12" i="59"/>
  <c r="D42" i="58"/>
  <c r="E42" i="58"/>
  <c r="C19" i="59"/>
  <c r="J19" i="59"/>
  <c r="M19" i="59"/>
  <c r="H19" i="59"/>
  <c r="K19" i="59"/>
  <c r="F19" i="59"/>
  <c r="I19" i="59"/>
  <c r="D19" i="59"/>
  <c r="B19" i="59"/>
  <c r="G19" i="59"/>
  <c r="L19" i="59"/>
  <c r="E19" i="59"/>
  <c r="E44" i="58"/>
  <c r="I44" i="58" s="1"/>
  <c r="D44" i="58"/>
  <c r="F44" i="58" s="1"/>
  <c r="J44" i="58" s="1"/>
  <c r="D11" i="59"/>
  <c r="H11" i="59"/>
  <c r="L11" i="59"/>
  <c r="E11" i="59"/>
  <c r="I11" i="59"/>
  <c r="M11" i="59"/>
  <c r="C14" i="58"/>
  <c r="E14" i="58" s="1"/>
  <c r="I14" i="58" s="1"/>
  <c r="F11" i="59"/>
  <c r="J11" i="59"/>
  <c r="B11" i="59"/>
  <c r="C11" i="59"/>
  <c r="G11" i="59"/>
  <c r="K11" i="59"/>
  <c r="E17" i="58"/>
  <c r="D48" i="58"/>
  <c r="F17" i="58" s="1"/>
  <c r="D46" i="58"/>
  <c r="F46" i="58" s="1"/>
  <c r="J46" i="58" s="1"/>
  <c r="E46" i="58"/>
  <c r="I46" i="58" s="1"/>
  <c r="F10" i="43"/>
  <c r="D39" i="43"/>
  <c r="D43" i="43"/>
  <c r="F41" i="43"/>
  <c r="G25" i="48"/>
  <c r="D43" i="48"/>
  <c r="D39" i="48"/>
  <c r="G30" i="48" l="1"/>
  <c r="N9" i="59"/>
  <c r="F25" i="50"/>
  <c r="F30" i="43"/>
  <c r="F39" i="43"/>
  <c r="G17" i="59"/>
  <c r="M17" i="59"/>
  <c r="D17" i="59"/>
  <c r="E17" i="59"/>
  <c r="J17" i="59"/>
  <c r="I17" i="59"/>
  <c r="K17" i="59"/>
  <c r="B17" i="59"/>
  <c r="C17" i="59"/>
  <c r="L17" i="59"/>
  <c r="H17" i="59"/>
  <c r="N18" i="59"/>
  <c r="N12" i="59"/>
  <c r="H15" i="59"/>
  <c r="G15" i="59"/>
  <c r="F15" i="59"/>
  <c r="N11" i="59"/>
  <c r="N19" i="59"/>
  <c r="I42" i="58"/>
  <c r="M25" i="46"/>
  <c r="I15" i="59"/>
  <c r="C15" i="59"/>
  <c r="E12" i="58"/>
  <c r="E59" i="58"/>
  <c r="F42" i="58"/>
  <c r="D49" i="58"/>
  <c r="D61" i="58" s="1"/>
  <c r="E15" i="59"/>
  <c r="M15" i="59"/>
  <c r="B15" i="59"/>
  <c r="N20" i="59"/>
  <c r="C47" i="58"/>
  <c r="L15" i="59"/>
  <c r="K15" i="59"/>
  <c r="F43" i="43"/>
  <c r="G39" i="48"/>
  <c r="G41" i="48"/>
  <c r="G43" i="48"/>
  <c r="N17" i="59" l="1"/>
  <c r="D13" i="58"/>
  <c r="B18" i="50"/>
  <c r="B25" i="50" s="1"/>
  <c r="C49" i="58"/>
  <c r="C61" i="58" s="1"/>
  <c r="E47" i="58"/>
  <c r="F49" i="58"/>
  <c r="F61" i="58" s="1"/>
  <c r="J42" i="58" l="1"/>
  <c r="J49" i="58" s="1"/>
  <c r="J61" i="58" s="1"/>
  <c r="H49" i="58"/>
  <c r="H61" i="58" s="1"/>
  <c r="E49" i="58"/>
  <c r="E61" i="58" s="1"/>
  <c r="F13" i="58"/>
  <c r="D18" i="58"/>
  <c r="D27" i="58" s="1"/>
  <c r="J15" i="59"/>
  <c r="C13" i="58"/>
  <c r="N10" i="59" l="1"/>
  <c r="D15" i="59"/>
  <c r="N15" i="59" s="1"/>
  <c r="E13" i="58"/>
  <c r="C18" i="58"/>
  <c r="C27" i="58" s="1"/>
  <c r="C62" i="58" s="1"/>
  <c r="F18" i="58"/>
  <c r="F27" i="58" s="1"/>
  <c r="I47" i="58"/>
  <c r="I49" i="58" s="1"/>
  <c r="I61" i="58" s="1"/>
  <c r="G49" i="58"/>
  <c r="G61" i="58" s="1"/>
  <c r="E18" i="58" l="1"/>
  <c r="E27" i="58" s="1"/>
  <c r="E62" i="58" s="1"/>
  <c r="J13" i="58"/>
  <c r="J18" i="58" s="1"/>
  <c r="J27" i="58" s="1"/>
  <c r="H18" i="58"/>
  <c r="H27" i="58" s="1"/>
  <c r="I13" i="58" l="1"/>
  <c r="I18" i="58" s="1"/>
  <c r="I27" i="58" s="1"/>
  <c r="I62" i="58" s="1"/>
  <c r="G18" i="58"/>
  <c r="G27" i="58" s="1"/>
  <c r="G62" i="58" s="1"/>
  <c r="D27" i="44"/>
  <c r="C9" i="56" l="1"/>
  <c r="C7" i="56"/>
  <c r="C11" i="56"/>
  <c r="C17" i="56"/>
  <c r="C14" i="56"/>
  <c r="C13" i="56"/>
  <c r="C16" i="56"/>
  <c r="C8" i="56"/>
  <c r="C15" i="56"/>
  <c r="C18" i="56"/>
  <c r="C12" i="56"/>
  <c r="C10" i="56"/>
</calcChain>
</file>

<file path=xl/comments1.xml><?xml version="1.0" encoding="utf-8"?>
<comments xmlns="http://schemas.openxmlformats.org/spreadsheetml/2006/main">
  <authors>
    <author>User</author>
  </authors>
  <commentList>
    <comment ref="J10" author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<sst xmlns="http://schemas.openxmlformats.org/spreadsheetml/2006/main" count="1217" uniqueCount="689">
  <si>
    <t xml:space="preserve">Helyi iparűzési adó            </t>
  </si>
  <si>
    <t xml:space="preserve">Gépjárműadó           </t>
  </si>
  <si>
    <t>Összesen:</t>
  </si>
  <si>
    <t xml:space="preserve">Építményadó                                                                        </t>
  </si>
  <si>
    <t xml:space="preserve">Telekadó                 </t>
  </si>
  <si>
    <t>Pótlékok</t>
  </si>
  <si>
    <t xml:space="preserve">Helyi adók </t>
  </si>
  <si>
    <t xml:space="preserve">Átengedett központi adók </t>
  </si>
  <si>
    <t>Kommunális adó</t>
  </si>
  <si>
    <t>Bírságok, egyéb pótlékok</t>
  </si>
  <si>
    <t>Nemesbük község Önkormányzata</t>
  </si>
  <si>
    <t>Adott kedvezmény</t>
  </si>
  <si>
    <t>Bevétel</t>
  </si>
  <si>
    <t xml:space="preserve">Gépjárműadó </t>
  </si>
  <si>
    <t>Adókedvezmények</t>
  </si>
  <si>
    <t>Önkormányzat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</si>
  <si>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</si>
  <si>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</si>
  <si>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</si>
  <si>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</si>
  <si>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</si>
  <si>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</si>
  <si>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</si>
  <si>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</si>
  <si>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</si>
  <si>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</si>
  <si>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</si>
  <si>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</si>
  <si>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</si>
  <si>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</si>
  <si>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</si>
  <si>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</si>
  <si>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</si>
  <si>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</si>
  <si>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</si>
  <si>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</si>
  <si>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</si>
  <si>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</si>
  <si>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</si>
  <si>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</si>
  <si>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</si>
  <si>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</si>
  <si>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</si>
  <si>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</si>
  <si>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</si>
  <si>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</si>
  <si>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</si>
  <si>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</si>
  <si>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</si>
  <si>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</si>
  <si>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</si>
  <si>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</si>
  <si>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</si>
  <si>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</si>
  <si>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</si>
  <si>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</si>
  <si>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</si>
  <si>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</si>
  <si>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</si>
  <si>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</si>
  <si>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</si>
  <si>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</si>
  <si>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</si>
  <si>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</si>
  <si>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</si>
  <si>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</si>
  <si>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</si>
  <si>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</si>
  <si>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1.2.</t>
  </si>
  <si>
    <t>1.3.</t>
  </si>
  <si>
    <t>1.4.</t>
  </si>
  <si>
    <t>Intézményi ellátási díjak</t>
  </si>
  <si>
    <t>1.5.</t>
  </si>
  <si>
    <t>Általános forgalmi adó bevétel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</si>
  <si>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</si>
  <si>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</si>
  <si>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</si>
  <si>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</si>
  <si>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</si>
  <si>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</si>
  <si>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</si>
  <si>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</si>
  <si>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</si>
  <si>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</si>
  <si>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</si>
  <si>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</si>
  <si>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</si>
  <si>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</si>
  <si>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</si>
  <si>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</si>
  <si>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</si>
  <si>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</si>
  <si>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</si>
  <si>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</si>
  <si>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</si>
  <si>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</si>
  <si>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</si>
  <si>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</si>
  <si>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</si>
  <si>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</si>
  <si>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</si>
  <si>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</si>
  <si>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</si>
  <si>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</si>
  <si>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</si>
  <si>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</si>
  <si>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</si>
  <si>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</si>
  <si>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</si>
  <si>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</si>
  <si>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</si>
  <si>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</si>
  <si>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</si>
  <si>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</si>
  <si>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</si>
  <si>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</si>
  <si>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</si>
  <si>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</si>
  <si>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</si>
  <si>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</si>
  <si>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</si>
  <si>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</si>
  <si>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</si>
  <si>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Tartósan adott kölcsönök</t>
  </si>
  <si>
    <t>Pénzma-radvány</t>
  </si>
  <si>
    <t>Hosszú lejáratú kötelez.</t>
  </si>
  <si>
    <t>Rövid lejáratú hitel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</si>
  <si>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</si>
  <si>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</si>
  <si>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</si>
  <si>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</si>
  <si>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Könyvtári állomány gyarapítása</t>
  </si>
  <si>
    <t>Óvodához hozzájárulás</t>
  </si>
  <si>
    <t>ÖNKORM. BEVÉT. ÖSSZESEN</t>
  </si>
  <si>
    <t>Önkorm</t>
  </si>
  <si>
    <t>Mindösszesen</t>
  </si>
  <si>
    <t>Bevételi forrás megnevezése</t>
  </si>
  <si>
    <t>eredeti előirányzat</t>
  </si>
  <si>
    <t>működési bevétel</t>
  </si>
  <si>
    <t>felhalmozási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</si>
  <si>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</si>
  <si>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</si>
  <si>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</si>
  <si>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</si>
  <si>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</si>
  <si>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</si>
  <si>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</si>
  <si>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1.Önkormányzati hivatal működésnek támogatása</t>
  </si>
  <si>
    <t>5.Közutak fenntartásának támogatása</t>
  </si>
  <si>
    <t>7.Egyéb kötelező önkormányzati feladatok támogatása</t>
  </si>
  <si>
    <t>8.Óvodapedagógusok bér támogatása</t>
  </si>
  <si>
    <t>10.Óvodaműködtetési támogatás</t>
  </si>
  <si>
    <t>11.Óvodapedagógusok pótlólagos összeg</t>
  </si>
  <si>
    <t>13.Hozzájárulás a pénzbeli szociális ellátásokhoz</t>
  </si>
  <si>
    <t>15.Lakott külterülettel kapcsolatos feladatok támogatása</t>
  </si>
  <si>
    <t>16.Nyilvános könyvtár támogatása</t>
  </si>
  <si>
    <t>17.Üdülőhelyi feladatok támogatása</t>
  </si>
  <si>
    <t>III.Egyéb működési bevételek</t>
  </si>
  <si>
    <t>1.Felhalmozási és tőke jellegű bevételek</t>
  </si>
  <si>
    <t>1.1 Tárgyi eszközök,immateriális javak értékesítése</t>
  </si>
  <si>
    <t>Költségvetési bevételek összesen:</t>
  </si>
  <si>
    <t>Előző év pénzmaradványának igénybevétele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</si>
  <si>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</si>
  <si>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</si>
  <si>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</si>
  <si>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</si>
  <si>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</si>
  <si>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</si>
  <si>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</si>
  <si>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</si>
  <si>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Előző évi működési célú pénzmaradvány igénybevétel</t>
  </si>
  <si>
    <t>Tartalék</t>
  </si>
  <si>
    <t>Működési bevétel összesen:</t>
  </si>
  <si>
    <t>Működési költségvetés összesen:</t>
  </si>
  <si>
    <t>Felhalmozási és tőkejellegű bevétel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</si>
  <si>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</si>
  <si>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</si>
  <si>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</si>
  <si>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</si>
  <si>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</si>
  <si>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Létszám</t>
  </si>
  <si>
    <t>Intézmény megnevezése</t>
  </si>
  <si>
    <t>Polgármester</t>
  </si>
  <si>
    <t>Közalkalmazott</t>
  </si>
  <si>
    <t>Egyéb</t>
  </si>
  <si>
    <t>Nemesbük Község Önkormányzata</t>
  </si>
  <si>
    <t>Közfoglalkoztatottak</t>
  </si>
  <si>
    <t>Költségvetési szervek összesen:</t>
  </si>
  <si>
    <t>Szakfeladat</t>
  </si>
  <si>
    <t>Megnevezése</t>
  </si>
  <si>
    <t>Társadalmi és szociálpolitikai juttatások összesen:</t>
  </si>
  <si>
    <t xml:space="preserve">Várható kiadások jogcímenként  </t>
  </si>
  <si>
    <t xml:space="preserve">Várható kiadások jogcímenként </t>
  </si>
  <si>
    <t>14.Szociális étkeztetés</t>
  </si>
  <si>
    <t>Beruházás, felújítás</t>
  </si>
  <si>
    <t>Energiatámogatás</t>
  </si>
  <si>
    <t>Bursa Hungarica</t>
  </si>
  <si>
    <t>Települési támogatás</t>
  </si>
  <si>
    <t>Gyógyszertámogatás</t>
  </si>
  <si>
    <t>Hulladékszállítás térítése</t>
  </si>
  <si>
    <t>Lakásépítési támogatás</t>
  </si>
  <si>
    <t>EU-s társfinanszírozott programok, projektek kiadásai</t>
  </si>
  <si>
    <t>Helyi adónál, gépjárműadónál biztosított kedvezmény, mentesség összege adónemenként</t>
  </si>
  <si>
    <t>Bevétel kedvezmény nélkül</t>
  </si>
  <si>
    <t>106020</t>
  </si>
  <si>
    <t>094260</t>
  </si>
  <si>
    <t>107060</t>
  </si>
  <si>
    <t>101150</t>
  </si>
  <si>
    <t>061030</t>
  </si>
  <si>
    <t>018010</t>
  </si>
  <si>
    <t>011130</t>
  </si>
  <si>
    <t>082044</t>
  </si>
  <si>
    <t>Óvodai intézményi étkeztetés</t>
  </si>
  <si>
    <t>082092</t>
  </si>
  <si>
    <t>041233</t>
  </si>
  <si>
    <t xml:space="preserve">II. Kapott támogatások (önkorm.ktgvetési támogatása) összesen </t>
  </si>
  <si>
    <t>Nemesbük Község Önkormányzatának címrendje</t>
  </si>
  <si>
    <t>Címszám:</t>
  </si>
  <si>
    <t>Címnév</t>
  </si>
  <si>
    <t>1.)</t>
  </si>
  <si>
    <t>2.)</t>
  </si>
  <si>
    <t>Zöldterület</t>
  </si>
  <si>
    <t>Áfa</t>
  </si>
  <si>
    <t>Felhalmozási kiadások összesen</t>
  </si>
  <si>
    <t>Több éves kihatással járó feladatok</t>
  </si>
  <si>
    <t>2018.év</t>
  </si>
  <si>
    <t>2019.év</t>
  </si>
  <si>
    <t>2020.év</t>
  </si>
  <si>
    <t>Vagyonbiztosítás</t>
  </si>
  <si>
    <t>Települési hulladék 50% egyedülállók</t>
  </si>
  <si>
    <t>Háziorvosi ügyeleti díj</t>
  </si>
  <si>
    <t>Több éves feladatok összesen</t>
  </si>
  <si>
    <t>Sorszám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</si>
  <si>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</si>
  <si>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</si>
  <si>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</si>
  <si>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</si>
  <si>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</si>
  <si>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</si>
  <si>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</si>
  <si>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</si>
  <si>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</si>
  <si>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</si>
  <si>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</si>
  <si>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</si>
  <si>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</si>
  <si>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</si>
  <si>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</si>
  <si>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</si>
  <si>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>December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</si>
  <si>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</si>
  <si>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</si>
  <si>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</si>
  <si>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</si>
  <si>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</si>
  <si>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</si>
  <si>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</si>
  <si>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</si>
  <si>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</si>
  <si>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Köztemető</t>
  </si>
  <si>
    <t>Közvilágítás</t>
  </si>
  <si>
    <t>Háziorvosi alapell.</t>
  </si>
  <si>
    <t>Település hulladék</t>
  </si>
  <si>
    <t>Közművelődési int.</t>
  </si>
  <si>
    <t>Szennyvíz gyűjtése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</si>
  <si>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</si>
  <si>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</si>
  <si>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</si>
  <si>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</si>
  <si>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</si>
  <si>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</si>
  <si>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</si>
  <si>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</si>
  <si>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013320</t>
  </si>
  <si>
    <t>066010</t>
  </si>
  <si>
    <t>064010</t>
  </si>
  <si>
    <t>072112</t>
  </si>
  <si>
    <t>051030</t>
  </si>
  <si>
    <t>052020</t>
  </si>
  <si>
    <t>096015</t>
  </si>
  <si>
    <t>045160</t>
  </si>
  <si>
    <t>900020</t>
  </si>
  <si>
    <t>091110</t>
  </si>
  <si>
    <t>107051</t>
  </si>
  <si>
    <t>096025</t>
  </si>
  <si>
    <t>Gördülő tervezés</t>
  </si>
  <si>
    <t>Működési</t>
  </si>
  <si>
    <t>Intézményi működési bevétel</t>
  </si>
  <si>
    <t>Önkormányzat működési támogatása</t>
  </si>
  <si>
    <t>Támogatásértékű bevételek</t>
  </si>
  <si>
    <t>Működési célú pénzeszközátvétel, Központosított előirányzat</t>
  </si>
  <si>
    <t>Értékpapír kibocsátása, értékesítése</t>
  </si>
  <si>
    <t>Hitelek felvétele</t>
  </si>
  <si>
    <t>Kapott kölcsön, nyújtott kölcsön visszatér.</t>
  </si>
  <si>
    <t>Forgatási célú belf.,külf. Értékpapírok kibocsátása, értékesítése</t>
  </si>
  <si>
    <t>13.</t>
  </si>
  <si>
    <t>Betét visszavonásából származó bevétel</t>
  </si>
  <si>
    <t>14.</t>
  </si>
  <si>
    <t>Egyéb működési finanszírozási célú bevétel</t>
  </si>
  <si>
    <t>15.</t>
  </si>
  <si>
    <t>Finanszírozási célú bevételek</t>
  </si>
  <si>
    <t>16.</t>
  </si>
  <si>
    <t>Függő, átfutó, kiegyenlítő bevételek</t>
  </si>
  <si>
    <t>17.</t>
  </si>
  <si>
    <t>BEVÉTELEK ÖSSZESEN</t>
  </si>
  <si>
    <t>Munkaadókat terhelő járulék</t>
  </si>
  <si>
    <t>ÁHT kívüli pénzeszköz átadás</t>
  </si>
  <si>
    <t>Szociális juttatások</t>
  </si>
  <si>
    <t>Likviditási hitelek törlesztése</t>
  </si>
  <si>
    <t>Rövid lejáratú hitelek törlesztése</t>
  </si>
  <si>
    <t>Hosszú lejáratú hitelek törlesztése</t>
  </si>
  <si>
    <t>Kölcsön törlesztése, adott kölcsön</t>
  </si>
  <si>
    <t>Befektetési célú belf., külf. Értékpapírok vásárlása</t>
  </si>
  <si>
    <t>Forgatási célú belföldi, külföldi étékpapírok vásárlása</t>
  </si>
  <si>
    <t>Betét elhelyezése</t>
  </si>
  <si>
    <t>18.</t>
  </si>
  <si>
    <t>Finanszírozási célú kiadások</t>
  </si>
  <si>
    <t>19.</t>
  </si>
  <si>
    <t>Függő, átfutó, kiegyenlítő kiadások</t>
  </si>
  <si>
    <t>20.</t>
  </si>
  <si>
    <t>KIADÁSOK ÖSSZESEN</t>
  </si>
  <si>
    <t>21.</t>
  </si>
  <si>
    <t>Költségvetési többlet: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</si>
  <si>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</si>
  <si>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</si>
  <si>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</si>
  <si>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</si>
  <si>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</si>
  <si>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</si>
  <si>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</si>
  <si>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</si>
  <si>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</si>
  <si>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</si>
  <si>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</si>
  <si>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</si>
  <si>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</si>
  <si>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</si>
  <si>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Intézményi műk. bevételek</t>
  </si>
  <si>
    <t>Műk. Célú tám. Ért. bevételek</t>
  </si>
  <si>
    <t>Pénzmaradvány</t>
  </si>
  <si>
    <t>Bevételek összesen</t>
  </si>
  <si>
    <t> KIADÁSOK</t>
  </si>
  <si>
    <t>Munkaadókat terhelő járulékok</t>
  </si>
  <si>
    <t>Ellátottak pénzbeni juttatásai</t>
  </si>
  <si>
    <t>Támogatásértékű kiadás</t>
  </si>
  <si>
    <t>PE átadás</t>
  </si>
  <si>
    <t>Kiadások összesen:</t>
  </si>
  <si>
    <t>2.Zöldterülettel kapcs. Támogatások</t>
  </si>
  <si>
    <t>3.Közvilágítás fenntartásának támogatása</t>
  </si>
  <si>
    <t>9.Óvodapedagógusok munkáját közvetlenül segítők támogatása</t>
  </si>
  <si>
    <t>12.Ingyenes és kedvezményes gyermekétkeztetés támogatása</t>
  </si>
  <si>
    <t>A. Költségvetési bevételek összesen:(I.+II.+III.+IV)</t>
  </si>
  <si>
    <t>B. Finanszírozási bevételek</t>
  </si>
  <si>
    <t>V.Költségvetési hiány belső finanszírozására szolgáló pénzforgalom nélküli bevételek</t>
  </si>
  <si>
    <t>4.Köztemető fenntartásával kapcs. feladatok tám.</t>
  </si>
  <si>
    <t>1.2 Önkormányzatok sajátos felhalmozási és tőke bevételei</t>
  </si>
  <si>
    <t>Víz- és szennyvízkezelés</t>
  </si>
  <si>
    <t>Támogatásértékű bevételek, pe. átvételek</t>
  </si>
  <si>
    <t>2021.év</t>
  </si>
  <si>
    <t>063020</t>
  </si>
  <si>
    <t>Vízellátás</t>
  </si>
  <si>
    <t>nev</t>
  </si>
  <si>
    <t>gyerek</t>
  </si>
  <si>
    <t>alkalmazott</t>
  </si>
  <si>
    <t>szoc</t>
  </si>
  <si>
    <t>ig</t>
  </si>
  <si>
    <t>temető</t>
  </si>
  <si>
    <t>utak</t>
  </si>
  <si>
    <t>zöldter</t>
  </si>
  <si>
    <t>közvil</t>
  </si>
  <si>
    <t>háziorvos</t>
  </si>
  <si>
    <t>műv</t>
  </si>
  <si>
    <t>energia</t>
  </si>
  <si>
    <t>bursa</t>
  </si>
  <si>
    <t xml:space="preserve">települési </t>
  </si>
  <si>
    <t>gyógyszer</t>
  </si>
  <si>
    <t>lakástám</t>
  </si>
  <si>
    <t>hulladék</t>
  </si>
  <si>
    <t>könyvtár</t>
  </si>
  <si>
    <t>szennyvíz</t>
  </si>
  <si>
    <t>közfogl</t>
  </si>
  <si>
    <t>Támogatásértékű kiadások</t>
  </si>
  <si>
    <t>Működési célú pe. átadások</t>
  </si>
  <si>
    <t>Várható kiadások jogcímenként</t>
  </si>
  <si>
    <t>6.Polgármester tiszteletdíja</t>
  </si>
  <si>
    <t>2.Működési célú pénzeszköz átvétel ÁHT-n belülről</t>
  </si>
  <si>
    <t xml:space="preserve">IV.Felhalmozási bevételek              </t>
  </si>
  <si>
    <t>Talajterhelési díj</t>
  </si>
  <si>
    <t>2022.év</t>
  </si>
  <si>
    <t>KIMUTATÁS A KÖZVETETT TÁMOGATÁSOKRÓL</t>
  </si>
  <si>
    <t>Óvoda finanszírozási ütemterv</t>
  </si>
  <si>
    <t>Várható kiadásai és bevételei kiemelt előirányzatonként</t>
  </si>
  <si>
    <t>Társadalom és szociálpolitikai juttatások előirányzata</t>
  </si>
  <si>
    <t>NEMESBÜK ÖNKORMÁNYZAT KÖLTSÉGVETÉSE</t>
  </si>
  <si>
    <t xml:space="preserve">Önkormányzati feladathoz tartozó feladatok cím előirányzatai </t>
  </si>
  <si>
    <t>helyi adó bevétel</t>
  </si>
  <si>
    <t>NEMESBÜK KÖZSÉG ÖNKORMÁNYZAT KÖLTSÉGVETÉSE</t>
  </si>
  <si>
    <t xml:space="preserve"> Az önkormányzati költségvetési szervhez nem tartozó feladatok cím tervezett bevételei forrásonként</t>
  </si>
  <si>
    <t>Működési célú ÁHT-n belül</t>
  </si>
  <si>
    <t>Működési célú ÁHT-n kívül</t>
  </si>
  <si>
    <t>szoc étk</t>
  </si>
  <si>
    <t>Bejárati lépcső burkolás</t>
  </si>
  <si>
    <t>Televízió</t>
  </si>
  <si>
    <t>Gépjármű beszerzés</t>
  </si>
  <si>
    <t>Sportöltöző felújítás</t>
  </si>
  <si>
    <t>Köztéri kamerarendszer</t>
  </si>
  <si>
    <t>Urnafal építés</t>
  </si>
  <si>
    <t>Konzorciumi önrész</t>
  </si>
  <si>
    <t>1. melléklet</t>
  </si>
  <si>
    <t>2. melléklet</t>
  </si>
  <si>
    <t>2/a melléklet</t>
  </si>
  <si>
    <t>2/b melléklet</t>
  </si>
  <si>
    <t>3. melléklet</t>
  </si>
  <si>
    <t>4. melléklet</t>
  </si>
  <si>
    <t>5. melléklet</t>
  </si>
  <si>
    <t>6. melléklet</t>
  </si>
  <si>
    <t>7. melléklet</t>
  </si>
  <si>
    <t>8. melléklet</t>
  </si>
  <si>
    <t>NEMESBÜK KÖZSÉG ÖNKORMÁNYZATA</t>
  </si>
  <si>
    <t>9. melléklet</t>
  </si>
  <si>
    <t>10. melléklet</t>
  </si>
  <si>
    <t>11. melléklet</t>
  </si>
  <si>
    <t>12. melléklet</t>
  </si>
  <si>
    <t>13. melléklet</t>
  </si>
  <si>
    <t>módosított előirányzat</t>
  </si>
  <si>
    <t>A minimálbér és a garantált bérminimum emelésével kapcsolatos intézkedésekről szóló 1354/2019. (VI. 14.) Korm. határozat</t>
  </si>
  <si>
    <t>Szociális tűzifa vásárlás támogatása</t>
  </si>
  <si>
    <t>Lakossági víz- és csatornaszolgáltatás támogatása</t>
  </si>
  <si>
    <t>Előző évi elszámolás alapján költségvetési évben keletkező pótigény</t>
  </si>
  <si>
    <t>2.Felhalmozási c. támogatás - vis maior</t>
  </si>
  <si>
    <t>3.Felhalmozási c. támogatás - Magyar Falu Program (Önkormányzati útak felújítása)</t>
  </si>
  <si>
    <t>Módosított előirányzat</t>
  </si>
  <si>
    <t>ÁHT belüli megelőlegezés</t>
  </si>
  <si>
    <t>Szolgáltatási bevételek (sírhelymegváltás)</t>
  </si>
  <si>
    <t>Szolgáltatási bevételek (terembérleti díj)</t>
  </si>
  <si>
    <t>Ellátási díjak (szociális étkezés)</t>
  </si>
  <si>
    <t>066020</t>
  </si>
  <si>
    <t>Kölcsönök visszatérülése lakosságtól</t>
  </si>
  <si>
    <t>Szociális tűzifa vásárlása támogatása</t>
  </si>
  <si>
    <t>Előző évi elszámolásból eredő pótigény</t>
  </si>
  <si>
    <t>Előző évi elszámolásból eredő kötelezettség</t>
  </si>
  <si>
    <t>Felhalmozási célú támogatásértékű kiadások (konzorciumi megállapodás)</t>
  </si>
  <si>
    <t>Megelőlegezés</t>
  </si>
  <si>
    <t>Az Önkormányzat működési és felhalmozás célú bevételei és kiadásai tájékoztató jelleggel mérlegszerűen</t>
  </si>
  <si>
    <t>2. Óvoda maradvány igénybevétele</t>
  </si>
  <si>
    <t>1. Önkormányzat működési célra</t>
  </si>
  <si>
    <t>Kerékpáros pihenő közvilágítás bővítése</t>
  </si>
  <si>
    <t>Vis maior beruházás + Magyar Falu útépítés + önkormányzati útépítés</t>
  </si>
  <si>
    <t>Ravatalozó felújítása</t>
  </si>
  <si>
    <t>Eszközvásárlás (műv. ház, hivatal)</t>
  </si>
  <si>
    <t>Egyéb eszközvásárlás</t>
  </si>
  <si>
    <t>Ingatlanok értékesítése</t>
  </si>
  <si>
    <t>Város és községgazdálkodás</t>
  </si>
  <si>
    <t>Vendégétkezés</t>
  </si>
  <si>
    <t>049010</t>
  </si>
  <si>
    <t>Előző évi elszámolásból eredő visszafiz. köt.</t>
  </si>
  <si>
    <t>Felhalmozási bevételek</t>
  </si>
  <si>
    <t>Előző évi elszámolásból eredő visszafizetési köt.</t>
  </si>
  <si>
    <t>Nemesbük Község Önkormányzatának … (…) rendelete a 2019. évi költségvetés végrehajtásáról</t>
  </si>
  <si>
    <t>Nemesbük Község Önkormányzatának … (…) rendelete 2019. évi költségvetés végrehajtásáról</t>
  </si>
  <si>
    <t>teljesítés</t>
  </si>
  <si>
    <t>1.Bérleti díjak, egyéb működési bevételek</t>
  </si>
  <si>
    <t>Asztal, polc</t>
  </si>
  <si>
    <t>Szolgáltatások ellenértéke</t>
  </si>
  <si>
    <t>Egyéb bevételek</t>
  </si>
  <si>
    <t>Egyéb szociális támogatások, ellátások</t>
  </si>
  <si>
    <t>Megelőlegezés visszafizetése</t>
  </si>
  <si>
    <t xml:space="preserve"> Mérleg</t>
  </si>
  <si>
    <t>#</t>
  </si>
  <si>
    <t>Előző időszak</t>
  </si>
  <si>
    <t>Módosítások (+/-)</t>
  </si>
  <si>
    <t>Tárgyi időszak</t>
  </si>
  <si>
    <t>02</t>
  </si>
  <si>
    <t>A/I/2 Szellemi termékek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</si>
  <si>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</si>
  <si>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</si>
  <si>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</si>
  <si>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</si>
  <si>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</si>
  <si>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</si>
  <si>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</si>
  <si>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</si>
  <si>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</si>
  <si>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</si>
  <si>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</si>
  <si>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</si>
  <si>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</si>
  <si>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21</t>
  </si>
  <si>
    <t>A/III Befektetett pénzügyi eszközök (=A/III/1+A/III/2+A/III/3)</t>
  </si>
  <si>
    <t>28</t>
  </si>
  <si>
    <t>A) NEMZETI VAGYONBA TARTOZÓ BEFEKTETETT ESZKÖZÖK (=A/I+A/II+A/III+A/IV)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</si>
  <si>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</si>
  <si>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</si>
  <si>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</si>
  <si>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</si>
  <si>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</si>
  <si>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</si>
  <si>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</si>
  <si>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</si>
  <si>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</si>
  <si>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</si>
  <si>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</si>
  <si>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</si>
  <si>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</si>
  <si>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</si>
  <si>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</si>
  <si>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</si>
  <si>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</si>
  <si>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</si>
  <si>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</si>
  <si>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</si>
  <si>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71</t>
  </si>
  <si>
    <t>D/I/4b - ebből: költségvetési évben esedékes követelések tulajdonosi bevételekre</t>
  </si>
  <si>
    <t>101</t>
  </si>
  <si>
    <t>D/I Költségvetési évben esedékes követelések (=D/I/1+…+D/I/8)</t>
  </si>
  <si>
    <t>143</t>
  </si>
  <si>
    <t>D/III/1 Adott előlegek (=D/III/1a+…+D/III/1f)</t>
  </si>
  <si>
    <t>148</t>
  </si>
  <si>
    <t>D/III/1e - ebből: foglalkoztatottaknak adott előlegek</t>
  </si>
  <si>
    <t>D/III/1f - ebből: túlfizetések, téves és visszajáró kifizetések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</si>
  <si>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</si>
  <si>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</si>
  <si>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</si>
  <si>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</si>
  <si>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</si>
  <si>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E) EGYÉB SAJÁTOS ELSZÁMOLÁSOK (=E/I+E/II+E/III)</t>
  </si>
  <si>
    <t>ESZKÖZÖK ÖSSZESEN (=A+B+C+D+E+F)</t>
  </si>
  <si>
    <t>G/I  Nemzeti vagyon induláskori értéke</t>
  </si>
  <si>
    <t>G/II  Nemzeti vagyon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</si>
  <si>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</si>
  <si>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</si>
  <si>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</si>
  <si>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</si>
  <si>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</si>
  <si>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</si>
  <si>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</si>
  <si>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</si>
  <si>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</si>
  <si>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</si>
  <si>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</si>
  <si>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</si>
  <si>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</si>
  <si>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</si>
  <si>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</si>
  <si>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</si>
  <si>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 xml:space="preserve">Nemesbük Község Önkormányzata </t>
  </si>
  <si>
    <t>15.  melléklete</t>
  </si>
  <si>
    <t>Tárgyi eszköz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</si>
  <si>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</si>
  <si>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</si>
  <si>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</si>
  <si>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</si>
  <si>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</si>
  <si>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</si>
  <si>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</si>
  <si>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01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</si>
  <si>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</si>
  <si>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</si>
  <si>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</si>
  <si>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</si>
  <si>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07</t>
  </si>
  <si>
    <t>Egyéb növekedés</t>
  </si>
  <si>
    <t>Összes növekedés  (=02+…+07)</t>
  </si>
  <si>
    <t>09</t>
  </si>
  <si>
    <t>Egyéb csökkenés</t>
  </si>
  <si>
    <t>14</t>
  </si>
  <si>
    <t>Összes csökkenés (=09+…+13)</t>
  </si>
  <si>
    <t>15</t>
  </si>
  <si>
    <t>Bruttó érték összesen (=01+08-14)</t>
  </si>
  <si>
    <t>16</t>
  </si>
  <si>
    <t>Terv szerinti értékcsökkenés nyitó állománya</t>
  </si>
  <si>
    <t>17</t>
  </si>
  <si>
    <t>Terv szerinti értékcsökkenés növekedése</t>
  </si>
  <si>
    <t>18</t>
  </si>
  <si>
    <t>Terv szerinti értékcsökkenés csökkenése</t>
  </si>
  <si>
    <t>19</t>
  </si>
  <si>
    <t>Terv szerinti értékcsökkenés záró állománya  (=16+17-18)</t>
  </si>
  <si>
    <t>24</t>
  </si>
  <si>
    <t>Értékcsökkenés összesen (=19+23)</t>
  </si>
  <si>
    <t>25</t>
  </si>
  <si>
    <t>Eszközök nettó értéke (=15-24)</t>
  </si>
  <si>
    <t>26</t>
  </si>
  <si>
    <t>Teljesen (0-ig) leírt eszközök bruttó értéke</t>
  </si>
  <si>
    <t xml:space="preserve">Nemesbük Község Önkormányzata  </t>
  </si>
  <si>
    <t>16. melléklet</t>
  </si>
  <si>
    <t>Maradványkimutatás</t>
  </si>
  <si>
    <t>Összeg</t>
  </si>
  <si>
    <t>01 Alaptevékenység költségvetési bevételei</t>
  </si>
  <si>
    <t>02 Alaptevékenység költségvetési kiadásai</t>
  </si>
  <si>
    <t>03</t>
  </si>
  <si>
    <t>I. Alaptevékenység költségvetési egyenlege (=01-02)</t>
  </si>
  <si>
    <t>03 Alaptevékenység finanszírozási bevételei</t>
  </si>
  <si>
    <t>04 Alaptevékenység finanszírozási kiadásai</t>
  </si>
  <si>
    <t>II. Alaptevékenység finanszírozási egyenlege (=03-04)</t>
  </si>
  <si>
    <t>A) Alaptevékenység maradványa</t>
  </si>
  <si>
    <t>C) Összes maradvány (=A+B)</t>
  </si>
  <si>
    <t>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</si>
  <si>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</si>
  <si>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</si>
  <si>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</si>
  <si>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</si>
  <si>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</si>
  <si>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</si>
  <si>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</si>
  <si>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</si>
  <si>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12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</si>
  <si>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</si>
  <si>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</si>
  <si>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</si>
  <si>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</si>
  <si>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</si>
  <si>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</si>
  <si>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20</t>
  </si>
  <si>
    <t>16 Bérjárulékok</t>
  </si>
  <si>
    <t>V Személyi jellegű ráfordítások (=14+15+16)</t>
  </si>
  <si>
    <t>22</t>
  </si>
  <si>
    <t>VI Értékcsökkenési leírás</t>
  </si>
  <si>
    <t>23</t>
  </si>
  <si>
    <t>VII Egyéb ráfordítások</t>
  </si>
  <si>
    <t>A)  TEVÉKENYSÉGEK EREDMÉNYE (=I±II+III-IV-V-VI-VII)</t>
  </si>
  <si>
    <t>20 Egyéb kapott (járó) kamatok és kamatjellegű eredményszemléletű bevételek</t>
  </si>
  <si>
    <t>32</t>
  </si>
  <si>
    <t>VIII Pénzügyi műveletek eredményszemléletű bevételei (=17+18+19+20+21)</t>
  </si>
  <si>
    <t>IX  PÉNZÜGYI MŰVELETEK RÁFORDÍTÁSAI</t>
  </si>
  <si>
    <t>43</t>
  </si>
  <si>
    <t>B)  PÉNZÜGYI MŰVELETEK EREDMÉNYE (=VIII-IX)</t>
  </si>
  <si>
    <t>44</t>
  </si>
  <si>
    <t>C)  MÉRLEG SZERINTI EREDMÉNY (=±A±B)</t>
  </si>
  <si>
    <t>18. melléklet</t>
  </si>
  <si>
    <t>Mérleg</t>
  </si>
  <si>
    <t>G/II Nemzeti vagyon változásai</t>
  </si>
  <si>
    <t>19. melléklet</t>
  </si>
  <si>
    <t>Ft-ban</t>
  </si>
  <si>
    <t>Tárgyi eszközök</t>
  </si>
  <si>
    <t>20. melléklet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</si>
  <si>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</si>
  <si>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</si>
  <si>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</si>
  <si>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</si>
  <si>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II         Alaptevékenység finanszírozási egyenlege (=03-04)</t>
  </si>
  <si>
    <t>A)        Alaptevékenység maradványa (=±I±II)</t>
  </si>
  <si>
    <t>C)        Összes maradvány (=A+B)</t>
  </si>
  <si>
    <t>21. melléklete</t>
  </si>
  <si>
    <t xml:space="preserve"> Eredménykimutatás</t>
  </si>
  <si>
    <t>22. melléklet</t>
  </si>
  <si>
    <t>04        Alaptevékenység finanszírozási kiadásai</t>
  </si>
  <si>
    <t>B/I/1 Vásárolt készletek</t>
  </si>
  <si>
    <t>B/I Készletek</t>
  </si>
  <si>
    <t>B) NEMZETI VAGYONBA TARTOZÓ FORGÓESZKÖZÖK</t>
  </si>
  <si>
    <t>E/I/2 Más előzetesen felszámított ÁFA</t>
  </si>
  <si>
    <t>E/I Előzetesen felszámított ÁFA</t>
  </si>
  <si>
    <t>E/II/2 Más fizetendő ÁFA</t>
  </si>
  <si>
    <t>E/II Fizetendő ÁFA elszámolása</t>
  </si>
  <si>
    <t>E) EGYÉB SAJÁTOS ELSZÁMOLÁSOK</t>
  </si>
  <si>
    <t xml:space="preserve">G/III Egyéb eszközök induláskori értéke és változásai </t>
  </si>
  <si>
    <t>20 Egyéb kapott (járó) kamatok és kamatjellegű bevételek</t>
  </si>
  <si>
    <t>VIII Pénügyi műveletek eredményszemléletű bevételei</t>
  </si>
  <si>
    <t>B) PÉNZÜGYI MŰVELETK EREDMÉNYE</t>
  </si>
  <si>
    <t>17.  melléklete</t>
  </si>
  <si>
    <t>A/III/1b - ebből: egyéb tartós részesedések</t>
  </si>
  <si>
    <t>A/IV/1 Koncessziósa, vagyonkezelésbe adott eszközök</t>
  </si>
  <si>
    <t>A/IV/1b - ebből: tárgyi eszközök</t>
  </si>
  <si>
    <t>A/IV Koncesszióba, vagyonkezelésbe adott eszközök</t>
  </si>
  <si>
    <t>D/I/7 - ebből: költségvetési évben esedékes követelések felhalmozási célú átvett pénzeszközökre</t>
  </si>
  <si>
    <t>D/I/7c - ebből: költségvetési évben esedékes követelések felhalmozási célú, visszatérítendő támogatások, kölcsöök visszatérülésére államháztartáson kívülről</t>
  </si>
  <si>
    <t>D/II/6 Költségvetési évet követően esedékes követelések működési célú átvett pénzeszközökre</t>
  </si>
  <si>
    <t>D/II/6c Költségvetési évet követően esedékes követelések működési célú visszatérítendő támogatások, kölcsönök visszatérülésére államháztartáson kívülről</t>
  </si>
  <si>
    <t>D/II Költségvetési évet követően esedékes követelések</t>
  </si>
  <si>
    <t>G/III Egyéb eszközök induláskori értéke és változásai</t>
  </si>
  <si>
    <t>H/I/4 Költségvetési évben esedékes kötelezettségek ellátottak pénzbeli juttatásaira</t>
  </si>
  <si>
    <t>H/I/4 Költségvetési évben esedékes kötelezettségek felújításokra</t>
  </si>
  <si>
    <t>24 Fizetendő kamat  és kamatjellegű ráfordítások</t>
  </si>
  <si>
    <t>Felhasználási ütemterv</t>
  </si>
  <si>
    <t>Nemesbük Község Önkormányzatának  6/2020.(VII.15.)  rendelete a 2019. évi költségvetés végrehajtásáról</t>
  </si>
  <si>
    <t>Nemesbük Község Önkormányzatának 6/2020.(VII.15.)rendelete a 2019. évi költségvetés végrehajtásáról</t>
  </si>
  <si>
    <t>Nemesbük Község Önkormányzatának 6/2020.(VII.15.) rendelete a 2019. évi költségvetés végrehajtásáról</t>
  </si>
  <si>
    <t>Nemesbük Község Önkormányzatának 6/2020.(VII.15.)rendelete 2019. évi költségvetés végrehajtásáról</t>
  </si>
  <si>
    <t>Nemesbük Község Önkormányzatának 6/2020. (VII.15.)rendelete 2019. évi költségvetés végrehajtásáról</t>
  </si>
  <si>
    <t>Nemesbük Község Önkormányzatának 6/2020. (VII.15.) rendelete a  2019. évi költségvetés végrehajtásáról</t>
  </si>
  <si>
    <t>Nemesbük Község Önkormányzatának 6/2020. (VII.15.) rendelete a költségvetés végrehajtásáról</t>
  </si>
  <si>
    <t>Nemesbük Község Önkormányzatának 6/2020.(VII.15.) rendelete 2019. évi költségvetés végrehajtásáról</t>
  </si>
  <si>
    <t>Nemesbük Község Önkormányzatának 6/2020.(VII.15.)  rendelete a 2019. évi költségvetésr végrehajtásáról</t>
  </si>
  <si>
    <t xml:space="preserve">Nemesbük Község Önkormányzatának 6/2020.(VII.15.)  rendelete a 2019. évi költségvetés végrehajtásáról  </t>
  </si>
  <si>
    <t>Nemesbük Község Önkormányzatának 6/2020. (VII.15.)  rendelete  2019. évi költségvetés végrehajtásáról</t>
  </si>
  <si>
    <t xml:space="preserve">Nemesbük Község Önkormányzatának 6/2020.(VII.15.) rendelete a 2019. évi költségvetés végrehajtásáról  </t>
  </si>
  <si>
    <t>Nemesbük Község Önkormányzatának 6/2020.(VII.15.)  rendelete  2019. évi költségvetés végrehajtásáról</t>
  </si>
  <si>
    <t>Nemesbük Község Önkormányzata 6/2020.(VII.15.) rendelete  2019. évi költségvetés végrehajtásáról</t>
  </si>
  <si>
    <t>Nemesbük Község Önkormányzatának 6/2020. (VII.15.)  rendelete a 2019. évi költségvetés végrehajtásáról</t>
  </si>
  <si>
    <t>Nemesbük Község Önkormányzatának  6/2020.(VII.15.) rendelete a 2019. évi költségvetés végrehajtásáról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</si>
</sst>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\ _F_t"/>
  </numFmts>
  <fonts count="7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4"/>
      <name val="Arial"/>
      <charset val="238"/>
    </font>
    <font>
      <b/>
      <sz val="14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.5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4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0"/>
      <name val="Arial CE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826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3" fillId="0" borderId="0" xfId="42" applyFont="1"/>
    <xf numFmtId="0" fontId="21" fillId="0" borderId="0" xfId="42"/>
    <xf numFmtId="0" fontId="21" fillId="0" borderId="0" xfId="42" applyAlignment="1"/>
    <xf numFmtId="0" fontId="23" fillId="0" borderId="0" xfId="42" applyFont="1" applyBorder="1" applyAlignment="1"/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4" borderId="17" xfId="0" applyNumberFormat="1" applyFont="1" applyFill="1" applyBorder="1" applyAlignment="1">
      <alignment vertical="center" wrapText="1"/>
    </xf>
    <xf numFmtId="3" fontId="2" fillId="24" borderId="11" xfId="0" applyNumberFormat="1" applyFont="1" applyFill="1" applyBorder="1" applyAlignment="1">
      <alignment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2" fillId="24" borderId="2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2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3" fontId="3" fillId="0" borderId="2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" fillId="1" borderId="2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/>
    </xf>
    <xf numFmtId="0" fontId="2" fillId="24" borderId="2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horizontal="center" vertical="center"/>
    </xf>
    <xf numFmtId="3" fontId="2" fillId="24" borderId="34" xfId="0" applyNumberFormat="1" applyFont="1" applyFill="1" applyBorder="1" applyAlignment="1">
      <alignment horizontal="right" vertical="center" wrapText="1"/>
    </xf>
    <xf numFmtId="164" fontId="29" fillId="0" borderId="0" xfId="38" applyNumberFormat="1" applyFont="1" applyFill="1" applyAlignment="1" applyProtection="1">
      <alignment horizontal="left" vertical="center" wrapText="1"/>
    </xf>
    <xf numFmtId="164" fontId="29" fillId="0" borderId="0" xfId="38" applyNumberFormat="1" applyFont="1" applyFill="1" applyAlignment="1" applyProtection="1">
      <alignment vertical="center" wrapText="1"/>
    </xf>
    <xf numFmtId="164" fontId="29" fillId="0" borderId="0" xfId="38" applyNumberFormat="1" applyFont="1" applyFill="1" applyAlignment="1">
      <alignment vertical="center" wrapText="1"/>
    </xf>
    <xf numFmtId="0" fontId="32" fillId="0" borderId="0" xfId="38" applyFont="1" applyFill="1" applyAlignment="1">
      <alignment vertical="center"/>
    </xf>
    <xf numFmtId="0" fontId="31" fillId="0" borderId="35" xfId="38" applyFont="1" applyFill="1" applyBorder="1" applyAlignment="1" applyProtection="1">
      <alignment vertical="center"/>
    </xf>
    <xf numFmtId="0" fontId="31" fillId="0" borderId="36" xfId="38" applyFont="1" applyFill="1" applyBorder="1" applyAlignment="1" applyProtection="1">
      <alignment vertical="center"/>
    </xf>
    <xf numFmtId="0" fontId="31" fillId="0" borderId="0" xfId="38" applyFont="1" applyFill="1" applyAlignment="1" applyProtection="1">
      <alignment vertical="center"/>
    </xf>
    <xf numFmtId="0" fontId="33" fillId="0" borderId="0" xfId="38" applyFont="1" applyFill="1" applyAlignment="1">
      <alignment vertical="center"/>
    </xf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center" vertical="center" wrapText="1"/>
    </xf>
    <xf numFmtId="0" fontId="31" fillId="0" borderId="34" xfId="38" applyFont="1" applyFill="1" applyBorder="1" applyAlignment="1" applyProtection="1">
      <alignment horizontal="center" vertical="center" wrapText="1"/>
    </xf>
    <xf numFmtId="0" fontId="26" fillId="0" borderId="0" xfId="38" applyFill="1" applyAlignment="1">
      <alignment vertical="center" wrapText="1"/>
    </xf>
    <xf numFmtId="0" fontId="34" fillId="0" borderId="28" xfId="38" applyFont="1" applyFill="1" applyBorder="1" applyAlignment="1" applyProtection="1">
      <alignment horizontal="center" vertical="center" wrapText="1"/>
    </xf>
    <xf numFmtId="0" fontId="34" fillId="0" borderId="38" xfId="38" applyFont="1" applyFill="1" applyBorder="1" applyAlignment="1" applyProtection="1">
      <alignment horizontal="center" vertical="center" wrapText="1"/>
    </xf>
    <xf numFmtId="0" fontId="34" fillId="0" borderId="39" xfId="38" applyFont="1" applyFill="1" applyBorder="1" applyAlignment="1" applyProtection="1">
      <alignment horizontal="center" vertical="center" wrapText="1"/>
    </xf>
    <xf numFmtId="0" fontId="32" fillId="0" borderId="0" xfId="38" applyFont="1" applyFill="1" applyAlignment="1">
      <alignment horizontal="center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5" fillId="0" borderId="41" xfId="38" applyFont="1" applyFill="1" applyBorder="1" applyAlignment="1" applyProtection="1">
      <alignment horizontal="center" vertical="center" wrapText="1"/>
    </xf>
    <xf numFmtId="0" fontId="36" fillId="0" borderId="37" xfId="38" applyFont="1" applyFill="1" applyBorder="1" applyAlignment="1" applyProtection="1">
      <alignment horizontal="center" vertical="center" wrapText="1"/>
    </xf>
    <xf numFmtId="0" fontId="37" fillId="0" borderId="0" xfId="38" applyFont="1" applyFill="1" applyAlignment="1">
      <alignment vertical="center" wrapText="1"/>
    </xf>
    <xf numFmtId="0" fontId="34" fillId="0" borderId="10" xfId="38" applyFont="1" applyFill="1" applyBorder="1" applyAlignment="1" applyProtection="1">
      <alignment horizontal="center" vertical="center" wrapText="1"/>
    </xf>
    <xf numFmtId="49" fontId="38" fillId="0" borderId="11" xfId="38" applyNumberFormat="1" applyFont="1" applyFill="1" applyBorder="1" applyAlignment="1" applyProtection="1">
      <alignment horizontal="center" vertical="center" wrapText="1"/>
    </xf>
    <xf numFmtId="0" fontId="38" fillId="0" borderId="11" xfId="43" applyFont="1" applyFill="1" applyBorder="1" applyAlignment="1" applyProtection="1">
      <alignment horizontal="left" vertical="center" wrapText="1" indent="1"/>
    </xf>
    <xf numFmtId="164" fontId="28" fillId="0" borderId="43" xfId="38" applyNumberFormat="1" applyFont="1" applyFill="1" applyBorder="1" applyAlignment="1" applyProtection="1">
      <alignment vertical="center" wrapText="1"/>
      <protection locked="0"/>
    </xf>
    <xf numFmtId="0" fontId="34" fillId="0" borderId="29" xfId="38" applyFont="1" applyFill="1" applyBorder="1" applyAlignment="1" applyProtection="1">
      <alignment horizontal="center" vertical="center" wrapText="1"/>
    </xf>
    <xf numFmtId="164" fontId="28" fillId="0" borderId="21" xfId="38" applyNumberFormat="1" applyFont="1" applyFill="1" applyBorder="1" applyAlignment="1" applyProtection="1">
      <alignment vertical="center" wrapText="1"/>
      <protection locked="0"/>
    </xf>
    <xf numFmtId="0" fontId="39" fillId="0" borderId="0" xfId="38" applyFont="1" applyFill="1" applyAlignment="1">
      <alignment vertical="center" wrapText="1"/>
    </xf>
    <xf numFmtId="0" fontId="34" fillId="0" borderId="24" xfId="38" applyFont="1" applyFill="1" applyBorder="1" applyAlignment="1" applyProtection="1">
      <alignment horizontal="center" vertical="center" wrapText="1"/>
    </xf>
    <xf numFmtId="49" fontId="38" fillId="0" borderId="30" xfId="38" applyNumberFormat="1" applyFont="1" applyFill="1" applyBorder="1" applyAlignment="1" applyProtection="1">
      <alignment horizontal="center" vertical="center" wrapText="1"/>
    </xf>
    <xf numFmtId="164" fontId="28" fillId="0" borderId="18" xfId="38" applyNumberFormat="1" applyFont="1" applyFill="1" applyBorder="1" applyAlignment="1" applyProtection="1">
      <alignment vertical="center" wrapText="1"/>
      <protection locked="0"/>
    </xf>
    <xf numFmtId="0" fontId="35" fillId="0" borderId="38" xfId="38" applyFont="1" applyFill="1" applyBorder="1" applyAlignment="1" applyProtection="1">
      <alignment horizontal="center" vertical="center" wrapText="1"/>
    </xf>
    <xf numFmtId="0" fontId="36" fillId="0" borderId="38" xfId="38" applyFont="1" applyFill="1" applyBorder="1" applyAlignment="1" applyProtection="1">
      <alignment horizontal="left" vertical="center" wrapText="1" indent="1"/>
    </xf>
    <xf numFmtId="164" fontId="36" fillId="0" borderId="34" xfId="38" applyNumberFormat="1" applyFont="1" applyFill="1" applyBorder="1" applyAlignment="1" applyProtection="1">
      <alignment vertical="center" wrapText="1"/>
    </xf>
    <xf numFmtId="0" fontId="34" fillId="0" borderId="25" xfId="38" applyFont="1" applyFill="1" applyBorder="1" applyAlignment="1" applyProtection="1">
      <alignment horizontal="center" vertical="center" wrapText="1"/>
    </xf>
    <xf numFmtId="49" fontId="38" fillId="0" borderId="26" xfId="38" applyNumberFormat="1" applyFont="1" applyFill="1" applyBorder="1" applyAlignment="1" applyProtection="1">
      <alignment horizontal="center" vertical="center" wrapText="1"/>
    </xf>
    <xf numFmtId="0" fontId="38" fillId="0" borderId="26" xfId="43" applyFont="1" applyFill="1" applyBorder="1" applyAlignment="1" applyProtection="1">
      <alignment horizontal="left" vertical="center" wrapText="1" indent="1"/>
    </xf>
    <xf numFmtId="164" fontId="28" fillId="0" borderId="44" xfId="38" applyNumberFormat="1" applyFont="1" applyFill="1" applyBorder="1" applyAlignment="1" applyProtection="1">
      <alignment vertical="center" wrapText="1"/>
      <protection locked="0"/>
    </xf>
    <xf numFmtId="0" fontId="38" fillId="0" borderId="30" xfId="43" applyFont="1" applyFill="1" applyBorder="1" applyAlignment="1" applyProtection="1">
      <alignment horizontal="left" vertical="center" wrapText="1" indent="1"/>
    </xf>
    <xf numFmtId="0" fontId="36" fillId="0" borderId="28" xfId="38" applyFont="1" applyFill="1" applyBorder="1" applyAlignment="1" applyProtection="1">
      <alignment horizontal="center" vertical="center" wrapText="1"/>
    </xf>
    <xf numFmtId="0" fontId="36" fillId="0" borderId="38" xfId="43" applyFont="1" applyFill="1" applyBorder="1" applyAlignment="1" applyProtection="1">
      <alignment horizontal="left" vertical="center" wrapText="1" indent="1"/>
    </xf>
    <xf numFmtId="164" fontId="36" fillId="0" borderId="34" xfId="38" applyNumberFormat="1" applyFont="1" applyFill="1" applyBorder="1" applyAlignment="1" applyProtection="1">
      <alignment vertical="center" wrapText="1"/>
      <protection locked="0"/>
    </xf>
    <xf numFmtId="0" fontId="35" fillId="0" borderId="45" xfId="38" applyFont="1" applyFill="1" applyBorder="1" applyAlignment="1" applyProtection="1">
      <alignment horizontal="center" vertical="center" wrapText="1"/>
    </xf>
    <xf numFmtId="49" fontId="36" fillId="0" borderId="38" xfId="43" applyNumberFormat="1" applyFont="1" applyFill="1" applyBorder="1" applyAlignment="1" applyProtection="1">
      <alignment horizontal="left" vertical="center" wrapText="1" indent="1"/>
    </xf>
    <xf numFmtId="49" fontId="38" fillId="0" borderId="26" xfId="43" applyNumberFormat="1" applyFont="1" applyFill="1" applyBorder="1" applyAlignment="1" applyProtection="1">
      <alignment horizontal="left" vertical="center" wrapText="1" indent="1"/>
    </xf>
    <xf numFmtId="0" fontId="28" fillId="0" borderId="26" xfId="43" applyFont="1" applyFill="1" applyBorder="1" applyAlignment="1" applyProtection="1">
      <alignment horizontal="left" vertical="center" wrapText="1" indent="1"/>
    </xf>
    <xf numFmtId="164" fontId="36" fillId="0" borderId="21" xfId="38" applyNumberFormat="1" applyFont="1" applyFill="1" applyBorder="1" applyAlignment="1" applyProtection="1">
      <alignment vertical="center" wrapText="1"/>
      <protection locked="0"/>
    </xf>
    <xf numFmtId="49" fontId="38" fillId="0" borderId="30" xfId="43" applyNumberFormat="1" applyFont="1" applyFill="1" applyBorder="1" applyAlignment="1" applyProtection="1">
      <alignment horizontal="left" vertical="center" wrapText="1" indent="1"/>
    </xf>
    <xf numFmtId="0" fontId="28" fillId="0" borderId="19" xfId="43" applyFont="1" applyFill="1" applyBorder="1" applyAlignment="1" applyProtection="1">
      <alignment horizontal="left" vertical="center" wrapText="1" indent="1"/>
    </xf>
    <xf numFmtId="164" fontId="36" fillId="0" borderId="18" xfId="38" applyNumberFormat="1" applyFont="1" applyFill="1" applyBorder="1" applyAlignment="1" applyProtection="1">
      <alignment vertical="center" wrapText="1"/>
      <protection locked="0"/>
    </xf>
    <xf numFmtId="0" fontId="40" fillId="0" borderId="28" xfId="38" applyFont="1" applyBorder="1" applyAlignment="1" applyProtection="1">
      <alignment horizontal="center" vertical="center" wrapText="1"/>
    </xf>
    <xf numFmtId="0" fontId="41" fillId="0" borderId="38" xfId="38" applyFont="1" applyBorder="1" applyAlignment="1" applyProtection="1">
      <alignment horizontal="center" wrapText="1"/>
    </xf>
    <xf numFmtId="0" fontId="41" fillId="0" borderId="45" xfId="38" applyFont="1" applyBorder="1" applyAlignment="1" applyProtection="1">
      <alignment horizontal="center" wrapText="1"/>
    </xf>
    <xf numFmtId="0" fontId="36" fillId="0" borderId="45" xfId="43" applyFont="1" applyFill="1" applyBorder="1" applyAlignment="1" applyProtection="1">
      <alignment horizontal="left" vertical="center" wrapText="1" indent="1"/>
    </xf>
    <xf numFmtId="0" fontId="42" fillId="0" borderId="45" xfId="38" applyFont="1" applyBorder="1" applyAlignment="1" applyProtection="1">
      <alignment horizontal="center" wrapText="1"/>
    </xf>
    <xf numFmtId="0" fontId="43" fillId="0" borderId="45" xfId="38" applyFont="1" applyBorder="1" applyAlignment="1" applyProtection="1">
      <alignment horizontal="left" wrapText="1" indent="1"/>
    </xf>
    <xf numFmtId="0" fontId="38" fillId="0" borderId="15" xfId="38" applyFont="1" applyFill="1" applyBorder="1" applyAlignment="1" applyProtection="1">
      <alignment horizontal="center" vertical="center" wrapText="1"/>
    </xf>
    <xf numFmtId="0" fontId="38" fillId="0" borderId="0" xfId="38" applyFont="1" applyFill="1" applyBorder="1" applyAlignment="1" applyProtection="1">
      <alignment horizontal="center" vertical="center" wrapText="1"/>
    </xf>
    <xf numFmtId="0" fontId="31" fillId="0" borderId="0" xfId="38" applyFont="1" applyFill="1" applyBorder="1" applyAlignment="1" applyProtection="1">
      <alignment horizontal="left" vertical="center" wrapText="1" indent="1"/>
    </xf>
    <xf numFmtId="0" fontId="38" fillId="0" borderId="15" xfId="38" applyFont="1" applyFill="1" applyBorder="1" applyAlignment="1" applyProtection="1">
      <alignment horizontal="left" vertical="center" wrapText="1"/>
    </xf>
    <xf numFmtId="0" fontId="38" fillId="0" borderId="0" xfId="38" applyFont="1" applyFill="1" applyBorder="1" applyAlignment="1" applyProtection="1">
      <alignment vertical="center" wrapText="1"/>
    </xf>
    <xf numFmtId="0" fontId="34" fillId="0" borderId="38" xfId="43" applyFont="1" applyFill="1" applyBorder="1" applyAlignment="1" applyProtection="1">
      <alignment horizontal="left" vertical="center" wrapText="1" indent="1"/>
    </xf>
    <xf numFmtId="0" fontId="34" fillId="0" borderId="38" xfId="43" applyFont="1" applyFill="1" applyBorder="1" applyAlignment="1" applyProtection="1">
      <alignment vertical="center" wrapText="1"/>
    </xf>
    <xf numFmtId="0" fontId="44" fillId="0" borderId="0" xfId="38" applyFont="1" applyFill="1" applyAlignment="1">
      <alignment vertical="center" wrapText="1"/>
    </xf>
    <xf numFmtId="0" fontId="36" fillId="0" borderId="25" xfId="38" applyFont="1" applyFill="1" applyBorder="1" applyAlignment="1" applyProtection="1">
      <alignment horizontal="center" vertical="center" wrapText="1"/>
    </xf>
    <xf numFmtId="0" fontId="36" fillId="0" borderId="10" xfId="38" applyFont="1" applyFill="1" applyBorder="1" applyAlignment="1" applyProtection="1">
      <alignment horizontal="center" vertical="center" wrapText="1"/>
    </xf>
    <xf numFmtId="49" fontId="38" fillId="0" borderId="11" xfId="43" applyNumberFormat="1" applyFont="1" applyFill="1" applyBorder="1" applyAlignment="1" applyProtection="1">
      <alignment horizontal="left" vertical="center" wrapText="1" indent="1"/>
    </xf>
    <xf numFmtId="0" fontId="36" fillId="0" borderId="24" xfId="38" applyFont="1" applyFill="1" applyBorder="1" applyAlignment="1" applyProtection="1">
      <alignment horizontal="center" vertical="center" wrapText="1"/>
    </xf>
    <xf numFmtId="0" fontId="34" fillId="0" borderId="28" xfId="43" applyFont="1" applyFill="1" applyBorder="1" applyAlignment="1" applyProtection="1">
      <alignment horizontal="left" vertical="center" wrapText="1" indent="1"/>
    </xf>
    <xf numFmtId="0" fontId="38" fillId="0" borderId="38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left" vertical="center" wrapText="1" indent="1"/>
    </xf>
    <xf numFmtId="0" fontId="26" fillId="0" borderId="15" xfId="38" applyFill="1" applyBorder="1" applyAlignment="1" applyProtection="1">
      <alignment horizontal="left" vertical="center" wrapText="1"/>
    </xf>
    <xf numFmtId="0" fontId="26" fillId="0" borderId="0" xfId="38" applyFill="1" applyBorder="1" applyAlignment="1" applyProtection="1">
      <alignment vertical="center" wrapText="1"/>
    </xf>
    <xf numFmtId="0" fontId="26" fillId="0" borderId="16" xfId="38" applyFill="1" applyBorder="1" applyAlignment="1" applyProtection="1">
      <alignment vertical="center" wrapText="1"/>
    </xf>
    <xf numFmtId="0" fontId="33" fillId="0" borderId="37" xfId="38" applyFont="1" applyFill="1" applyBorder="1" applyAlignment="1" applyProtection="1">
      <alignment horizontal="left" vertical="center"/>
    </xf>
    <xf numFmtId="0" fontId="45" fillId="0" borderId="37" xfId="38" applyFont="1" applyFill="1" applyBorder="1" applyAlignment="1" applyProtection="1">
      <alignment vertical="center" wrapText="1"/>
    </xf>
    <xf numFmtId="0" fontId="33" fillId="0" borderId="45" xfId="38" applyFont="1" applyFill="1" applyBorder="1" applyAlignment="1" applyProtection="1">
      <alignment vertical="center" wrapText="1"/>
    </xf>
    <xf numFmtId="0" fontId="34" fillId="0" borderId="34" xfId="38" applyFont="1" applyFill="1" applyBorder="1" applyAlignment="1" applyProtection="1">
      <alignment horizontal="right" vertical="center" wrapText="1"/>
    </xf>
    <xf numFmtId="0" fontId="33" fillId="0" borderId="28" xfId="38" applyFont="1" applyFill="1" applyBorder="1" applyAlignment="1" applyProtection="1">
      <alignment horizontal="left" vertical="center"/>
    </xf>
    <xf numFmtId="0" fontId="45" fillId="0" borderId="40" xfId="38" applyFont="1" applyFill="1" applyBorder="1" applyAlignment="1" applyProtection="1">
      <alignment vertical="center" wrapText="1"/>
    </xf>
    <xf numFmtId="0" fontId="33" fillId="0" borderId="34" xfId="38" applyFont="1" applyFill="1" applyBorder="1" applyAlignment="1" applyProtection="1">
      <alignment horizontal="center" vertical="center" wrapText="1"/>
    </xf>
    <xf numFmtId="0" fontId="26" fillId="0" borderId="0" xfId="38" applyFill="1" applyAlignment="1">
      <alignment horizontal="left" vertical="center" wrapText="1"/>
    </xf>
    <xf numFmtId="3" fontId="2" fillId="24" borderId="46" xfId="0" applyNumberFormat="1" applyFont="1" applyFill="1" applyBorder="1" applyAlignment="1">
      <alignment horizontal="center" vertical="center" wrapText="1"/>
    </xf>
    <xf numFmtId="3" fontId="2" fillId="24" borderId="47" xfId="0" applyNumberFormat="1" applyFont="1" applyFill="1" applyBorder="1" applyAlignment="1">
      <alignment horizontal="center" vertical="center" wrapText="1"/>
    </xf>
    <xf numFmtId="3" fontId="2" fillId="0" borderId="48" xfId="0" applyNumberFormat="1" applyFont="1" applyFill="1" applyBorder="1" applyAlignment="1">
      <alignment horizontal="right" vertical="center" wrapText="1"/>
    </xf>
    <xf numFmtId="0" fontId="2" fillId="1" borderId="37" xfId="0" applyFont="1" applyFill="1" applyBorder="1" applyAlignment="1">
      <alignment horizontal="center" vertical="center" wrapText="1"/>
    </xf>
    <xf numFmtId="0" fontId="2" fillId="24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0" fillId="0" borderId="0" xfId="0" applyFont="1" applyBorder="1" applyAlignment="1">
      <alignment vertical="center" wrapText="1"/>
    </xf>
    <xf numFmtId="3" fontId="2" fillId="0" borderId="4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9" xfId="0" applyNumberFormat="1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vertical="center"/>
    </xf>
    <xf numFmtId="3" fontId="2" fillId="24" borderId="28" xfId="0" applyNumberFormat="1" applyFont="1" applyFill="1" applyBorder="1" applyAlignment="1">
      <alignment vertical="center" wrapText="1"/>
    </xf>
    <xf numFmtId="3" fontId="2" fillId="24" borderId="38" xfId="0" applyNumberFormat="1" applyFont="1" applyFill="1" applyBorder="1" applyAlignment="1">
      <alignment horizontal="center" vertical="center"/>
    </xf>
    <xf numFmtId="3" fontId="2" fillId="24" borderId="38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24" borderId="49" xfId="0" applyNumberFormat="1" applyFont="1" applyFill="1" applyBorder="1" applyAlignment="1">
      <alignment vertical="center" wrapText="1"/>
    </xf>
    <xf numFmtId="0" fontId="2" fillId="24" borderId="50" xfId="0" applyFont="1" applyFill="1" applyBorder="1" applyAlignment="1">
      <alignment horizontal="center" vertical="center" wrapText="1"/>
    </xf>
    <xf numFmtId="0" fontId="21" fillId="0" borderId="0" xfId="39"/>
    <xf numFmtId="0" fontId="21" fillId="0" borderId="0" xfId="4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0" applyNumberFormat="1" applyFont="1" applyBorder="1" applyAlignment="1">
      <alignment vertical="center"/>
    </xf>
    <xf numFmtId="0" fontId="21" fillId="0" borderId="0" xfId="41"/>
    <xf numFmtId="0" fontId="48" fillId="0" borderId="0" xfId="41" applyFont="1"/>
    <xf numFmtId="0" fontId="21" fillId="0" borderId="0" xfId="41" applyAlignment="1"/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3" fontId="2" fillId="0" borderId="26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3" fontId="3" fillId="0" borderId="30" xfId="0" applyNumberFormat="1" applyFont="1" applyFill="1" applyBorder="1" applyAlignment="1">
      <alignment horizontal="right" vertical="center"/>
    </xf>
    <xf numFmtId="0" fontId="2" fillId="24" borderId="38" xfId="0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right" vertical="center" wrapText="1"/>
    </xf>
    <xf numFmtId="0" fontId="2" fillId="0" borderId="4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3" fontId="2" fillId="0" borderId="33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 wrapText="1"/>
    </xf>
    <xf numFmtId="0" fontId="3" fillId="0" borderId="27" xfId="0" applyFont="1" applyFill="1" applyBorder="1" applyAlignment="1">
      <alignment horizontal="right" vertical="center" wrapText="1"/>
    </xf>
    <xf numFmtId="0" fontId="2" fillId="1" borderId="38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2" fillId="1" borderId="45" xfId="0" applyFont="1" applyFill="1" applyBorder="1" applyAlignment="1">
      <alignment horizontal="right" vertical="center"/>
    </xf>
    <xf numFmtId="3" fontId="2" fillId="1" borderId="3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4" borderId="28" xfId="0" applyFont="1" applyFill="1" applyBorder="1" applyAlignment="1">
      <alignment horizontal="right" vertical="center"/>
    </xf>
    <xf numFmtId="0" fontId="36" fillId="0" borderId="37" xfId="38" applyFont="1" applyFill="1" applyBorder="1" applyAlignment="1" applyProtection="1">
      <alignment vertical="center" wrapText="1"/>
    </xf>
    <xf numFmtId="0" fontId="34" fillId="0" borderId="22" xfId="38" applyFont="1" applyFill="1" applyBorder="1" applyAlignment="1" applyProtection="1">
      <alignment horizontal="center" vertical="center" wrapText="1"/>
    </xf>
    <xf numFmtId="49" fontId="38" fillId="0" borderId="20" xfId="38" applyNumberFormat="1" applyFont="1" applyFill="1" applyBorder="1" applyAlignment="1" applyProtection="1">
      <alignment horizontal="center" vertical="center" wrapText="1"/>
    </xf>
    <xf numFmtId="0" fontId="38" fillId="0" borderId="27" xfId="43" applyFont="1" applyFill="1" applyBorder="1" applyAlignment="1" applyProtection="1">
      <alignment horizontal="left" vertical="center" wrapText="1" indent="1"/>
    </xf>
    <xf numFmtId="164" fontId="28" fillId="0" borderId="51" xfId="38" applyNumberFormat="1" applyFont="1" applyFill="1" applyBorder="1" applyAlignment="1" applyProtection="1">
      <alignment vertical="center" wrapText="1"/>
      <protection locked="0"/>
    </xf>
    <xf numFmtId="0" fontId="48" fillId="0" borderId="58" xfId="40" applyFont="1" applyBorder="1" applyAlignment="1">
      <alignment horizontal="center"/>
    </xf>
    <xf numFmtId="0" fontId="48" fillId="0" borderId="56" xfId="40" applyFont="1" applyBorder="1" applyAlignment="1">
      <alignment horizontal="center"/>
    </xf>
    <xf numFmtId="0" fontId="21" fillId="0" borderId="17" xfId="40" applyBorder="1" applyAlignment="1">
      <alignment horizontal="center"/>
    </xf>
    <xf numFmtId="0" fontId="21" fillId="0" borderId="0" xfId="40" applyAlignment="1">
      <alignment horizontal="center"/>
    </xf>
    <xf numFmtId="0" fontId="21" fillId="0" borderId="43" xfId="40" applyBorder="1" applyAlignment="1">
      <alignment horizontal="center"/>
    </xf>
    <xf numFmtId="43" fontId="2" fillId="0" borderId="30" xfId="0" applyNumberFormat="1" applyFont="1" applyFill="1" applyBorder="1" applyAlignment="1">
      <alignment horizontal="center" vertical="center" wrapText="1"/>
    </xf>
    <xf numFmtId="43" fontId="2" fillId="24" borderId="2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49" fontId="2" fillId="24" borderId="12" xfId="0" applyNumberFormat="1" applyFont="1" applyFill="1" applyBorder="1" applyAlignment="1">
      <alignment vertical="center" wrapText="1"/>
    </xf>
    <xf numFmtId="43" fontId="2" fillId="24" borderId="60" xfId="0" applyNumberFormat="1" applyFont="1" applyFill="1" applyBorder="1" applyAlignment="1">
      <alignment vertical="center" wrapText="1"/>
    </xf>
    <xf numFmtId="49" fontId="2" fillId="0" borderId="75" xfId="0" applyNumberFormat="1" applyFont="1" applyBorder="1" applyAlignment="1">
      <alignment vertical="center"/>
    </xf>
    <xf numFmtId="0" fontId="2" fillId="24" borderId="35" xfId="0" applyFont="1" applyFill="1" applyBorder="1" applyAlignment="1">
      <alignment vertical="center" wrapText="1"/>
    </xf>
    <xf numFmtId="43" fontId="2" fillId="0" borderId="60" xfId="0" applyNumberFormat="1" applyFont="1" applyFill="1" applyBorder="1" applyAlignment="1">
      <alignment horizontal="center" vertical="center" wrapText="1"/>
    </xf>
    <xf numFmtId="0" fontId="52" fillId="0" borderId="12" xfId="42" applyFont="1" applyBorder="1" applyAlignment="1">
      <alignment vertical="top" wrapText="1"/>
    </xf>
    <xf numFmtId="0" fontId="24" fillId="0" borderId="12" xfId="42" applyFont="1" applyBorder="1" applyAlignment="1">
      <alignment vertical="top" wrapText="1"/>
    </xf>
    <xf numFmtId="0" fontId="24" fillId="0" borderId="77" xfId="42" applyFont="1" applyBorder="1" applyAlignment="1">
      <alignment vertical="top" wrapText="1"/>
    </xf>
    <xf numFmtId="0" fontId="23" fillId="0" borderId="75" xfId="42" applyFont="1" applyBorder="1" applyAlignment="1">
      <alignment vertical="center" wrapText="1"/>
    </xf>
    <xf numFmtId="0" fontId="23" fillId="0" borderId="58" xfId="42" applyFont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4" fillId="0" borderId="35" xfId="42" applyFont="1" applyBorder="1" applyAlignment="1">
      <alignment vertical="center" wrapText="1"/>
    </xf>
    <xf numFmtId="0" fontId="24" fillId="0" borderId="63" xfId="42" applyFont="1" applyBorder="1" applyAlignment="1">
      <alignment horizontal="center" vertical="center" wrapText="1"/>
    </xf>
    <xf numFmtId="0" fontId="24" fillId="0" borderId="51" xfId="42" applyFont="1" applyBorder="1" applyAlignment="1">
      <alignment horizontal="center" vertical="center" wrapText="1"/>
    </xf>
    <xf numFmtId="0" fontId="48" fillId="0" borderId="0" xfId="41" applyFont="1" applyAlignment="1"/>
    <xf numFmtId="0" fontId="48" fillId="0" borderId="66" xfId="41" applyFont="1" applyBorder="1" applyAlignment="1"/>
    <xf numFmtId="0" fontId="48" fillId="0" borderId="67" xfId="41" applyFont="1" applyBorder="1" applyAlignment="1"/>
    <xf numFmtId="0" fontId="48" fillId="0" borderId="35" xfId="41" applyFont="1" applyBorder="1" applyAlignment="1"/>
    <xf numFmtId="0" fontId="50" fillId="0" borderId="39" xfId="41" applyFont="1" applyBorder="1" applyAlignment="1"/>
    <xf numFmtId="0" fontId="50" fillId="0" borderId="58" xfId="41" applyFont="1" applyBorder="1" applyAlignment="1"/>
    <xf numFmtId="0" fontId="48" fillId="0" borderId="42" xfId="41" applyFont="1" applyBorder="1" applyAlignment="1"/>
    <xf numFmtId="49" fontId="50" fillId="0" borderId="12" xfId="41" applyNumberFormat="1" applyFont="1" applyBorder="1" applyAlignment="1"/>
    <xf numFmtId="49" fontId="50" fillId="0" borderId="75" xfId="41" applyNumberFormat="1" applyFont="1" applyBorder="1" applyAlignment="1"/>
    <xf numFmtId="0" fontId="48" fillId="0" borderId="75" xfId="40" applyFont="1" applyBorder="1" applyAlignment="1"/>
    <xf numFmtId="0" fontId="48" fillId="0" borderId="76" xfId="40" applyFont="1" applyBorder="1" applyAlignment="1"/>
    <xf numFmtId="0" fontId="48" fillId="0" borderId="56" xfId="40" applyFont="1" applyBorder="1" applyAlignment="1"/>
    <xf numFmtId="0" fontId="21" fillId="0" borderId="49" xfId="40" applyBorder="1" applyAlignment="1"/>
    <xf numFmtId="0" fontId="48" fillId="0" borderId="44" xfId="40" applyFont="1" applyBorder="1" applyAlignment="1"/>
    <xf numFmtId="0" fontId="48" fillId="0" borderId="18" xfId="40" applyFont="1" applyBorder="1" applyAlignment="1">
      <alignment horizontal="center"/>
    </xf>
    <xf numFmtId="0" fontId="48" fillId="0" borderId="44" xfId="40" applyFont="1" applyBorder="1" applyAlignment="1">
      <alignment horizontal="center"/>
    </xf>
    <xf numFmtId="3" fontId="2" fillId="24" borderId="66" xfId="0" applyNumberFormat="1" applyFont="1" applyFill="1" applyBorder="1" applyAlignment="1">
      <alignment vertical="center" wrapText="1"/>
    </xf>
    <xf numFmtId="3" fontId="2" fillId="24" borderId="35" xfId="0" applyNumberFormat="1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0" fontId="21" fillId="0" borderId="69" xfId="39" applyBorder="1" applyAlignment="1"/>
    <xf numFmtId="0" fontId="21" fillId="0" borderId="12" xfId="39" applyBorder="1" applyAlignment="1"/>
    <xf numFmtId="0" fontId="21" fillId="0" borderId="39" xfId="39" applyBorder="1" applyAlignment="1"/>
    <xf numFmtId="0" fontId="21" fillId="0" borderId="76" xfId="39" applyBorder="1" applyAlignment="1"/>
    <xf numFmtId="0" fontId="21" fillId="0" borderId="56" xfId="39" applyBorder="1" applyAlignment="1"/>
    <xf numFmtId="0" fontId="21" fillId="0" borderId="46" xfId="39" applyBorder="1" applyAlignment="1"/>
    <xf numFmtId="0" fontId="21" fillId="0" borderId="44" xfId="39" applyBorder="1" applyAlignment="1"/>
    <xf numFmtId="0" fontId="48" fillId="0" borderId="49" xfId="39" applyFont="1" applyBorder="1" applyAlignment="1"/>
    <xf numFmtId="0" fontId="49" fillId="0" borderId="49" xfId="39" applyFont="1" applyBorder="1" applyAlignment="1"/>
    <xf numFmtId="0" fontId="21" fillId="0" borderId="49" xfId="39" applyBorder="1" applyAlignment="1"/>
    <xf numFmtId="0" fontId="48" fillId="0" borderId="49" xfId="39" applyFont="1" applyBorder="1" applyAlignment="1">
      <alignment wrapText="1"/>
    </xf>
    <xf numFmtId="0" fontId="48" fillId="0" borderId="76" xfId="39" applyFont="1" applyBorder="1" applyAlignment="1"/>
    <xf numFmtId="0" fontId="48" fillId="0" borderId="35" xfId="39" applyFont="1" applyBorder="1" applyAlignment="1"/>
    <xf numFmtId="0" fontId="56" fillId="0" borderId="79" xfId="0" applyFont="1" applyBorder="1" applyAlignment="1">
      <alignment vertical="center" wrapText="1"/>
    </xf>
    <xf numFmtId="0" fontId="55" fillId="0" borderId="78" xfId="0" applyFont="1" applyBorder="1" applyAlignment="1">
      <alignment vertical="center" wrapText="1"/>
    </xf>
    <xf numFmtId="0" fontId="56" fillId="0" borderId="16" xfId="0" applyFont="1" applyBorder="1" applyAlignment="1">
      <alignment vertical="center" wrapText="1"/>
    </xf>
    <xf numFmtId="0" fontId="55" fillId="0" borderId="74" xfId="0" applyFont="1" applyBorder="1" applyAlignment="1">
      <alignment vertical="center" wrapText="1"/>
    </xf>
    <xf numFmtId="0" fontId="55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2" fillId="27" borderId="16" xfId="0" applyFont="1" applyFill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43" xfId="0" applyFont="1" applyBorder="1" applyAlignment="1">
      <alignment horizontal="right" vertical="center" wrapText="1"/>
    </xf>
    <xf numFmtId="0" fontId="2" fillId="27" borderId="72" xfId="0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3" fillId="0" borderId="55" xfId="0" applyFont="1" applyBorder="1" applyAlignment="1">
      <alignment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6" fillId="0" borderId="81" xfId="0" applyFont="1" applyBorder="1" applyAlignment="1">
      <alignment horizontal="center" vertical="center" wrapText="1"/>
    </xf>
    <xf numFmtId="0" fontId="55" fillId="0" borderId="80" xfId="0" applyFont="1" applyBorder="1" applyAlignment="1">
      <alignment vertical="center" wrapText="1"/>
    </xf>
    <xf numFmtId="0" fontId="55" fillId="0" borderId="74" xfId="0" applyFont="1" applyBorder="1" applyAlignment="1">
      <alignment horizontal="center" vertical="center" wrapText="1"/>
    </xf>
    <xf numFmtId="0" fontId="56" fillId="0" borderId="83" xfId="0" applyFont="1" applyBorder="1" applyAlignment="1">
      <alignment vertical="center" wrapText="1"/>
    </xf>
    <xf numFmtId="0" fontId="55" fillId="0" borderId="84" xfId="0" applyFont="1" applyBorder="1" applyAlignment="1">
      <alignment vertical="center" wrapText="1"/>
    </xf>
    <xf numFmtId="0" fontId="56" fillId="0" borderId="85" xfId="0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3" fillId="0" borderId="8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0" fontId="55" fillId="0" borderId="3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90" xfId="0" applyFont="1" applyBorder="1" applyAlignment="1">
      <alignment horizontal="center" vertical="center" wrapText="1"/>
    </xf>
    <xf numFmtId="0" fontId="59" fillId="0" borderId="86" xfId="0" applyFont="1" applyBorder="1" applyAlignment="1">
      <alignment vertical="center" wrapText="1"/>
    </xf>
    <xf numFmtId="49" fontId="3" fillId="0" borderId="74" xfId="0" applyNumberFormat="1" applyFont="1" applyBorder="1" applyAlignment="1">
      <alignment horizontal="center" vertical="center" wrapText="1"/>
    </xf>
    <xf numFmtId="49" fontId="3" fillId="0" borderId="84" xfId="0" applyNumberFormat="1" applyFont="1" applyBorder="1" applyAlignment="1">
      <alignment horizontal="center" vertical="center" wrapText="1"/>
    </xf>
    <xf numFmtId="0" fontId="59" fillId="0" borderId="87" xfId="0" applyFont="1" applyBorder="1" applyAlignment="1">
      <alignment vertical="center"/>
    </xf>
    <xf numFmtId="0" fontId="59" fillId="0" borderId="86" xfId="0" applyFont="1" applyBorder="1" applyAlignment="1">
      <alignment vertical="center"/>
    </xf>
    <xf numFmtId="0" fontId="60" fillId="0" borderId="0" xfId="0" applyFont="1" applyAlignment="1">
      <alignment horizontal="right" vertical="center"/>
    </xf>
    <xf numFmtId="0" fontId="47" fillId="0" borderId="11" xfId="0" applyFont="1" applyBorder="1" applyAlignment="1">
      <alignment vertical="center" wrapText="1"/>
    </xf>
    <xf numFmtId="0" fontId="47" fillId="0" borderId="11" xfId="0" applyFont="1" applyBorder="1" applyAlignment="1">
      <alignment horizontal="center" vertical="center" wrapText="1"/>
    </xf>
    <xf numFmtId="0" fontId="61" fillId="0" borderId="11" xfId="0" applyFont="1" applyBorder="1" applyAlignment="1">
      <alignment vertical="center" wrapText="1"/>
    </xf>
    <xf numFmtId="0" fontId="53" fillId="0" borderId="11" xfId="0" applyFont="1" applyBorder="1" applyAlignment="1">
      <alignment horizontal="right" vertical="center" wrapText="1"/>
    </xf>
    <xf numFmtId="0" fontId="53" fillId="0" borderId="11" xfId="0" applyFont="1" applyBorder="1" applyAlignment="1">
      <alignment vertical="center" wrapText="1"/>
    </xf>
    <xf numFmtId="0" fontId="54" fillId="0" borderId="11" xfId="0" applyFont="1" applyBorder="1" applyAlignment="1">
      <alignment horizontal="right" vertical="center" wrapText="1"/>
    </xf>
    <xf numFmtId="0" fontId="54" fillId="0" borderId="11" xfId="0" applyFont="1" applyBorder="1" applyAlignment="1">
      <alignment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43" xfId="0" applyFont="1" applyBorder="1" applyAlignment="1">
      <alignment vertical="center" wrapText="1"/>
    </xf>
    <xf numFmtId="0" fontId="61" fillId="0" borderId="1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right" vertical="center" wrapText="1"/>
    </xf>
    <xf numFmtId="0" fontId="53" fillId="0" borderId="43" xfId="0" applyFont="1" applyBorder="1" applyAlignment="1">
      <alignment vertical="center" wrapText="1"/>
    </xf>
    <xf numFmtId="0" fontId="54" fillId="0" borderId="43" xfId="0" applyFont="1" applyBorder="1" applyAlignment="1">
      <alignment horizontal="right" vertical="center" wrapText="1"/>
    </xf>
    <xf numFmtId="0" fontId="54" fillId="0" borderId="43" xfId="0" applyFont="1" applyBorder="1" applyAlignment="1">
      <alignment vertical="center" wrapText="1"/>
    </xf>
    <xf numFmtId="0" fontId="47" fillId="0" borderId="25" xfId="0" applyFont="1" applyBorder="1" applyAlignment="1">
      <alignment vertical="center" wrapText="1"/>
    </xf>
    <xf numFmtId="0" fontId="47" fillId="0" borderId="26" xfId="0" applyFont="1" applyBorder="1" applyAlignment="1">
      <alignment horizontal="center" vertical="center" wrapText="1"/>
    </xf>
    <xf numFmtId="0" fontId="61" fillId="0" borderId="24" xfId="0" applyFont="1" applyBorder="1" applyAlignment="1">
      <alignment horizontal="center" vertical="center" wrapText="1"/>
    </xf>
    <xf numFmtId="0" fontId="61" fillId="0" borderId="30" xfId="0" applyFont="1" applyBorder="1" applyAlignment="1">
      <alignment vertical="center" wrapText="1"/>
    </xf>
    <xf numFmtId="0" fontId="53" fillId="0" borderId="30" xfId="0" applyFont="1" applyBorder="1" applyAlignment="1">
      <alignment horizontal="right" vertical="center" wrapText="1"/>
    </xf>
    <xf numFmtId="0" fontId="53" fillId="0" borderId="18" xfId="0" applyFont="1" applyBorder="1" applyAlignment="1">
      <alignment horizontal="right" vertical="center" wrapText="1"/>
    </xf>
    <xf numFmtId="0" fontId="61" fillId="0" borderId="25" xfId="0" applyFont="1" applyBorder="1" applyAlignment="1">
      <alignment horizontal="center" vertical="center" wrapText="1"/>
    </xf>
    <xf numFmtId="0" fontId="61" fillId="0" borderId="26" xfId="0" applyFont="1" applyBorder="1" applyAlignment="1">
      <alignment vertical="center" wrapText="1"/>
    </xf>
    <xf numFmtId="0" fontId="53" fillId="0" borderId="26" xfId="0" applyFont="1" applyBorder="1" applyAlignment="1">
      <alignment vertical="center" wrapText="1"/>
    </xf>
    <xf numFmtId="0" fontId="53" fillId="0" borderId="44" xfId="0" applyFont="1" applyBorder="1" applyAlignment="1">
      <alignment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8" xfId="0" applyFont="1" applyBorder="1" applyAlignment="1">
      <alignment vertical="center" wrapText="1"/>
    </xf>
    <xf numFmtId="0" fontId="54" fillId="0" borderId="38" xfId="0" applyFont="1" applyBorder="1" applyAlignment="1">
      <alignment horizontal="right" vertical="center" wrapText="1"/>
    </xf>
    <xf numFmtId="0" fontId="54" fillId="0" borderId="34" xfId="0" applyFont="1" applyBorder="1" applyAlignment="1">
      <alignment horizontal="right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30" xfId="0" applyFont="1" applyBorder="1" applyAlignment="1">
      <alignment vertical="center" wrapText="1"/>
    </xf>
    <xf numFmtId="0" fontId="54" fillId="0" borderId="30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53" fillId="0" borderId="26" xfId="0" applyFont="1" applyBorder="1" applyAlignment="1">
      <alignment horizontal="right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27" xfId="0" applyFont="1" applyBorder="1" applyAlignment="1">
      <alignment vertical="center" wrapText="1"/>
    </xf>
    <xf numFmtId="0" fontId="47" fillId="0" borderId="64" xfId="0" applyFont="1" applyBorder="1" applyAlignment="1">
      <alignment vertical="center" wrapText="1"/>
    </xf>
    <xf numFmtId="0" fontId="55" fillId="0" borderId="0" xfId="0" applyFont="1" applyAlignment="1">
      <alignment horizontal="left" vertical="center" indent="15"/>
    </xf>
    <xf numFmtId="0" fontId="3" fillId="0" borderId="92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62" fillId="0" borderId="85" xfId="0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 vertical="center" wrapText="1"/>
    </xf>
    <xf numFmtId="0" fontId="48" fillId="0" borderId="75" xfId="39" applyFont="1" applyBorder="1" applyAlignment="1">
      <alignment horizontal="left" wrapText="1"/>
    </xf>
    <xf numFmtId="0" fontId="50" fillId="0" borderId="49" xfId="39" applyFont="1" applyBorder="1" applyAlignment="1"/>
    <xf numFmtId="0" fontId="50" fillId="0" borderId="75" xfId="39" applyFont="1" applyBorder="1" applyAlignment="1">
      <alignment wrapText="1"/>
    </xf>
    <xf numFmtId="0" fontId="2" fillId="0" borderId="55" xfId="0" applyFont="1" applyBorder="1" applyAlignment="1">
      <alignment vertical="center" wrapText="1"/>
    </xf>
    <xf numFmtId="3" fontId="3" fillId="0" borderId="33" xfId="0" applyNumberFormat="1" applyFont="1" applyFill="1" applyBorder="1" applyAlignment="1">
      <alignment horizontal="right" vertical="center"/>
    </xf>
    <xf numFmtId="3" fontId="2" fillId="1" borderId="45" xfId="0" applyNumberFormat="1" applyFont="1" applyFill="1" applyBorder="1" applyAlignment="1">
      <alignment horizontal="right" vertical="center"/>
    </xf>
    <xf numFmtId="3" fontId="21" fillId="0" borderId="17" xfId="39" applyNumberFormat="1" applyBorder="1" applyAlignment="1"/>
    <xf numFmtId="3" fontId="21" fillId="0" borderId="43" xfId="39" applyNumberFormat="1" applyBorder="1" applyAlignment="1"/>
    <xf numFmtId="3" fontId="21" fillId="0" borderId="58" xfId="39" applyNumberFormat="1" applyBorder="1" applyAlignment="1"/>
    <xf numFmtId="3" fontId="21" fillId="0" borderId="18" xfId="39" applyNumberFormat="1" applyBorder="1" applyAlignment="1"/>
    <xf numFmtId="3" fontId="21" fillId="0" borderId="63" xfId="39" applyNumberFormat="1" applyBorder="1" applyAlignment="1"/>
    <xf numFmtId="3" fontId="2" fillId="1" borderId="43" xfId="0" applyNumberFormat="1" applyFont="1" applyFill="1" applyBorder="1" applyAlignment="1">
      <alignment vertical="center"/>
    </xf>
    <xf numFmtId="3" fontId="2" fillId="24" borderId="51" xfId="0" applyNumberFormat="1" applyFont="1" applyFill="1" applyBorder="1" applyAlignment="1">
      <alignment vertical="center"/>
    </xf>
    <xf numFmtId="3" fontId="21" fillId="0" borderId="17" xfId="40" applyNumberFormat="1" applyBorder="1" applyAlignment="1">
      <alignment horizontal="center"/>
    </xf>
    <xf numFmtId="3" fontId="3" fillId="0" borderId="11" xfId="0" applyNumberFormat="1" applyFont="1" applyFill="1" applyBorder="1" applyAlignment="1">
      <alignment vertical="center"/>
    </xf>
    <xf numFmtId="3" fontId="2" fillId="0" borderId="61" xfId="0" applyNumberFormat="1" applyFont="1" applyBorder="1" applyAlignment="1">
      <alignment vertical="center"/>
    </xf>
    <xf numFmtId="3" fontId="2" fillId="24" borderId="34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>
      <alignment vertical="center" wrapText="1"/>
    </xf>
    <xf numFmtId="49" fontId="3" fillId="0" borderId="26" xfId="0" applyNumberFormat="1" applyFont="1" applyFill="1" applyBorder="1" applyAlignment="1">
      <alignment horizontal="center" vertical="center"/>
    </xf>
    <xf numFmtId="3" fontId="2" fillId="0" borderId="44" xfId="0" applyNumberFormat="1" applyFont="1" applyBorder="1" applyAlignment="1">
      <alignment vertical="center"/>
    </xf>
    <xf numFmtId="0" fontId="50" fillId="0" borderId="49" xfId="40" applyFont="1" applyBorder="1" applyAlignment="1"/>
    <xf numFmtId="3" fontId="0" fillId="0" borderId="0" xfId="0" applyNumberFormat="1"/>
    <xf numFmtId="3" fontId="53" fillId="0" borderId="11" xfId="0" applyNumberFormat="1" applyFont="1" applyBorder="1" applyAlignment="1">
      <alignment horizontal="right" vertical="center" wrapText="1"/>
    </xf>
    <xf numFmtId="3" fontId="53" fillId="0" borderId="11" xfId="0" applyNumberFormat="1" applyFont="1" applyBorder="1" applyAlignment="1">
      <alignment vertical="center" wrapText="1"/>
    </xf>
    <xf numFmtId="3" fontId="53" fillId="0" borderId="30" xfId="0" applyNumberFormat="1" applyFont="1" applyBorder="1" applyAlignment="1">
      <alignment horizontal="right" vertical="center" wrapText="1"/>
    </xf>
    <xf numFmtId="0" fontId="3" fillId="0" borderId="77" xfId="0" applyFont="1" applyBorder="1" applyAlignment="1">
      <alignment vertical="center" wrapText="1"/>
    </xf>
    <xf numFmtId="3" fontId="2" fillId="0" borderId="33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3" fontId="2" fillId="24" borderId="38" xfId="0" applyNumberFormat="1" applyFont="1" applyFill="1" applyBorder="1" applyAlignment="1">
      <alignment horizontal="right" vertical="center"/>
    </xf>
    <xf numFmtId="0" fontId="48" fillId="0" borderId="37" xfId="40" applyFont="1" applyBorder="1" applyAlignment="1"/>
    <xf numFmtId="0" fontId="48" fillId="0" borderId="41" xfId="40" applyFont="1" applyBorder="1" applyAlignment="1">
      <alignment horizontal="center"/>
    </xf>
    <xf numFmtId="0" fontId="48" fillId="0" borderId="34" xfId="40" applyFont="1" applyBorder="1" applyAlignment="1">
      <alignment horizontal="center"/>
    </xf>
    <xf numFmtId="3" fontId="50" fillId="0" borderId="46" xfId="41" applyNumberFormat="1" applyFont="1" applyBorder="1" applyAlignment="1"/>
    <xf numFmtId="3" fontId="50" fillId="0" borderId="18" xfId="41" applyNumberFormat="1" applyFont="1" applyBorder="1" applyAlignment="1"/>
    <xf numFmtId="3" fontId="48" fillId="0" borderId="51" xfId="41" applyNumberFormat="1" applyFont="1" applyBorder="1" applyAlignment="1"/>
    <xf numFmtId="0" fontId="62" fillId="0" borderId="11" xfId="0" applyFont="1" applyBorder="1" applyAlignment="1">
      <alignment horizontal="center" vertical="center" wrapText="1"/>
    </xf>
    <xf numFmtId="0" fontId="62" fillId="0" borderId="11" xfId="0" applyFont="1" applyFill="1" applyBorder="1" applyAlignment="1">
      <alignment horizontal="center" vertical="center" wrapText="1"/>
    </xf>
    <xf numFmtId="1" fontId="62" fillId="0" borderId="11" xfId="0" applyNumberFormat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" fontId="63" fillId="0" borderId="84" xfId="0" applyNumberFormat="1" applyFont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2" fillId="26" borderId="62" xfId="0" applyFont="1" applyFill="1" applyBorder="1" applyAlignment="1">
      <alignment horizontal="right" vertical="center" wrapText="1"/>
    </xf>
    <xf numFmtId="1" fontId="47" fillId="0" borderId="27" xfId="0" applyNumberFormat="1" applyFont="1" applyBorder="1" applyAlignment="1">
      <alignment vertical="center" wrapText="1"/>
    </xf>
    <xf numFmtId="1" fontId="55" fillId="0" borderId="82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0" fontId="3" fillId="0" borderId="96" xfId="0" applyFont="1" applyBorder="1" applyAlignment="1">
      <alignment vertical="center" wrapText="1"/>
    </xf>
    <xf numFmtId="164" fontId="39" fillId="0" borderId="0" xfId="38" applyNumberFormat="1" applyFont="1" applyFill="1" applyAlignment="1">
      <alignment vertical="center" wrapText="1"/>
    </xf>
    <xf numFmtId="0" fontId="21" fillId="0" borderId="0" xfId="39" applyFont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/>
    </xf>
    <xf numFmtId="0" fontId="50" fillId="0" borderId="0" xfId="40" applyFont="1" applyAlignment="1">
      <alignment horizontal="right"/>
    </xf>
    <xf numFmtId="0" fontId="50" fillId="0" borderId="0" xfId="41" applyFont="1" applyAlignment="1">
      <alignment horizontal="right"/>
    </xf>
    <xf numFmtId="164" fontId="30" fillId="0" borderId="0" xfId="38" applyNumberFormat="1" applyFont="1" applyFill="1" applyBorder="1" applyAlignment="1" applyProtection="1">
      <alignment horizontal="right" vertical="center" wrapText="1"/>
      <protection locked="0"/>
    </xf>
    <xf numFmtId="0" fontId="51" fillId="0" borderId="0" xfId="42" applyFont="1" applyAlignment="1">
      <alignment horizontal="right"/>
    </xf>
    <xf numFmtId="0" fontId="2" fillId="0" borderId="0" xfId="0" applyFont="1" applyAlignment="1">
      <alignment horizontal="right" vertical="center"/>
    </xf>
    <xf numFmtId="0" fontId="50" fillId="0" borderId="0" xfId="39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5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Alignment="1">
      <alignment vertical="center" wrapText="1"/>
    </xf>
    <xf numFmtId="0" fontId="50" fillId="0" borderId="39" xfId="39" applyFont="1" applyBorder="1" applyAlignment="1">
      <alignment wrapText="1"/>
    </xf>
    <xf numFmtId="0" fontId="50" fillId="0" borderId="0" xfId="0" applyFont="1" applyAlignment="1">
      <alignment horizontal="left" vertical="center" wrapText="1" indent="1"/>
    </xf>
    <xf numFmtId="0" fontId="50" fillId="0" borderId="10" xfId="39" applyFont="1" applyBorder="1" applyAlignment="1">
      <alignment wrapText="1"/>
    </xf>
    <xf numFmtId="0" fontId="50" fillId="0" borderId="49" xfId="39" applyFont="1" applyBorder="1" applyAlignment="1">
      <alignment wrapText="1"/>
    </xf>
    <xf numFmtId="3" fontId="2" fillId="1" borderId="44" xfId="0" applyNumberFormat="1" applyFont="1" applyFill="1" applyBorder="1" applyAlignment="1">
      <alignment vertical="center"/>
    </xf>
    <xf numFmtId="3" fontId="2" fillId="1" borderId="97" xfId="0" applyNumberFormat="1" applyFont="1" applyFill="1" applyBorder="1" applyAlignment="1">
      <alignment vertical="center"/>
    </xf>
    <xf numFmtId="3" fontId="65" fillId="0" borderId="26" xfId="0" applyNumberFormat="1" applyFont="1" applyFill="1" applyBorder="1" applyAlignment="1">
      <alignment vertical="center"/>
    </xf>
    <xf numFmtId="3" fontId="65" fillId="0" borderId="0" xfId="0" applyNumberFormat="1" applyFont="1" applyBorder="1" applyAlignment="1">
      <alignment vertical="center"/>
    </xf>
    <xf numFmtId="3" fontId="65" fillId="0" borderId="26" xfId="0" applyNumberFormat="1" applyFont="1" applyBorder="1" applyAlignment="1">
      <alignment vertical="center"/>
    </xf>
    <xf numFmtId="3" fontId="65" fillId="0" borderId="19" xfId="0" applyNumberFormat="1" applyFont="1" applyFill="1" applyBorder="1" applyAlignment="1">
      <alignment vertical="center"/>
    </xf>
    <xf numFmtId="3" fontId="65" fillId="0" borderId="30" xfId="0" applyNumberFormat="1" applyFont="1" applyFill="1" applyBorder="1" applyAlignment="1">
      <alignment vertical="center"/>
    </xf>
    <xf numFmtId="0" fontId="2" fillId="28" borderId="54" xfId="0" applyFont="1" applyFill="1" applyBorder="1" applyAlignment="1">
      <alignment vertical="center" wrapText="1"/>
    </xf>
    <xf numFmtId="3" fontId="2" fillId="24" borderId="46" xfId="0" applyNumberFormat="1" applyFont="1" applyFill="1" applyBorder="1" applyAlignment="1">
      <alignment horizontal="right" vertical="center" wrapText="1"/>
    </xf>
    <xf numFmtId="3" fontId="2" fillId="24" borderId="47" xfId="0" applyNumberFormat="1" applyFont="1" applyFill="1" applyBorder="1" applyAlignment="1">
      <alignment horizontal="right" vertical="center" wrapText="1"/>
    </xf>
    <xf numFmtId="3" fontId="2" fillId="0" borderId="30" xfId="0" applyNumberFormat="1" applyFont="1" applyFill="1" applyBorder="1" applyAlignment="1">
      <alignment horizontal="right" vertical="center"/>
    </xf>
    <xf numFmtId="3" fontId="2" fillId="28" borderId="10" xfId="0" applyNumberFormat="1" applyFont="1" applyFill="1" applyBorder="1" applyAlignment="1">
      <alignment vertical="center" wrapText="1"/>
    </xf>
    <xf numFmtId="3" fontId="2" fillId="28" borderId="11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right" vertical="center" wrapText="1"/>
    </xf>
    <xf numFmtId="165" fontId="2" fillId="0" borderId="32" xfId="0" applyNumberFormat="1" applyFont="1" applyFill="1" applyBorder="1" applyAlignment="1">
      <alignment horizontal="right" vertical="center" wrapText="1"/>
    </xf>
    <xf numFmtId="3" fontId="3" fillId="0" borderId="20" xfId="0" applyNumberFormat="1" applyFont="1" applyFill="1" applyBorder="1" applyAlignment="1">
      <alignment horizontal="right" vertical="center" wrapText="1"/>
    </xf>
    <xf numFmtId="0" fontId="2" fillId="0" borderId="60" xfId="0" applyFont="1" applyFill="1" applyBorder="1" applyAlignment="1">
      <alignment horizontal="right" vertical="center" wrapText="1"/>
    </xf>
    <xf numFmtId="0" fontId="2" fillId="0" borderId="21" xfId="0" applyFont="1" applyFill="1" applyBorder="1" applyAlignment="1">
      <alignment horizontal="right" vertical="center"/>
    </xf>
    <xf numFmtId="3" fontId="3" fillId="0" borderId="27" xfId="0" applyNumberFormat="1" applyFont="1" applyFill="1" applyBorder="1" applyAlignment="1">
      <alignment horizontal="right" vertical="center" wrapText="1"/>
    </xf>
    <xf numFmtId="0" fontId="2" fillId="0" borderId="43" xfId="0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 wrapText="1"/>
    </xf>
    <xf numFmtId="0" fontId="2" fillId="0" borderId="42" xfId="0" applyFont="1" applyFill="1" applyBorder="1" applyAlignment="1">
      <alignment horizontal="right" vertical="center"/>
    </xf>
    <xf numFmtId="0" fontId="3" fillId="0" borderId="59" xfId="0" applyFont="1" applyFill="1" applyBorder="1" applyAlignment="1">
      <alignment horizontal="right" vertical="center"/>
    </xf>
    <xf numFmtId="3" fontId="3" fillId="0" borderId="56" xfId="0" applyNumberFormat="1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right" vertical="center"/>
    </xf>
    <xf numFmtId="0" fontId="2" fillId="0" borderId="59" xfId="0" applyFont="1" applyFill="1" applyBorder="1" applyAlignment="1">
      <alignment horizontal="right" vertical="center" wrapText="1"/>
    </xf>
    <xf numFmtId="3" fontId="3" fillId="0" borderId="100" xfId="0" applyNumberFormat="1" applyFont="1" applyFill="1" applyBorder="1" applyAlignment="1">
      <alignment horizontal="right" vertical="center" wrapText="1"/>
    </xf>
    <xf numFmtId="3" fontId="3" fillId="0" borderId="99" xfId="0" applyNumberFormat="1" applyFont="1" applyFill="1" applyBorder="1" applyAlignment="1">
      <alignment horizontal="right" vertical="center" wrapText="1"/>
    </xf>
    <xf numFmtId="0" fontId="2" fillId="0" borderId="51" xfId="0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 vertical="center" wrapText="1"/>
    </xf>
    <xf numFmtId="3" fontId="3" fillId="0" borderId="52" xfId="0" applyNumberFormat="1" applyFont="1" applyFill="1" applyBorder="1" applyAlignment="1">
      <alignment horizontal="right" vertical="center"/>
    </xf>
    <xf numFmtId="3" fontId="2" fillId="24" borderId="43" xfId="0" applyNumberFormat="1" applyFont="1" applyFill="1" applyBorder="1" applyAlignment="1">
      <alignment horizontal="right" vertical="center" wrapText="1"/>
    </xf>
    <xf numFmtId="3" fontId="2" fillId="24" borderId="33" xfId="0" applyNumberFormat="1" applyFont="1" applyFill="1" applyBorder="1" applyAlignment="1">
      <alignment horizontal="right" vertical="center" wrapText="1"/>
    </xf>
    <xf numFmtId="3" fontId="2" fillId="0" borderId="42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3" fontId="2" fillId="24" borderId="20" xfId="0" applyNumberFormat="1" applyFont="1" applyFill="1" applyBorder="1" applyAlignment="1">
      <alignment horizontal="right" vertical="center" wrapText="1"/>
    </xf>
    <xf numFmtId="3" fontId="2" fillId="0" borderId="60" xfId="0" applyNumberFormat="1" applyFont="1" applyFill="1" applyBorder="1" applyAlignment="1">
      <alignment horizontal="right" vertical="center"/>
    </xf>
    <xf numFmtId="0" fontId="2" fillId="0" borderId="46" xfId="0" applyFont="1" applyFill="1" applyBorder="1" applyAlignment="1">
      <alignment horizontal="right" vertical="center"/>
    </xf>
    <xf numFmtId="3" fontId="3" fillId="0" borderId="10" xfId="0" applyNumberFormat="1" applyFont="1" applyFill="1" applyBorder="1" applyAlignment="1">
      <alignment horizontal="right" vertical="center"/>
    </xf>
    <xf numFmtId="3" fontId="3" fillId="0" borderId="22" xfId="0" applyNumberFormat="1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3" fontId="3" fillId="0" borderId="17" xfId="0" applyNumberFormat="1" applyFont="1" applyFill="1" applyBorder="1" applyAlignment="1">
      <alignment horizontal="right" vertical="center"/>
    </xf>
    <xf numFmtId="3" fontId="2" fillId="0" borderId="43" xfId="0" applyNumberFormat="1" applyFont="1" applyFill="1" applyBorder="1" applyAlignment="1">
      <alignment horizontal="right" vertical="center" wrapText="1"/>
    </xf>
    <xf numFmtId="3" fontId="2" fillId="0" borderId="14" xfId="0" applyNumberFormat="1" applyFont="1" applyFill="1" applyBorder="1" applyAlignment="1">
      <alignment horizontal="right" vertical="center" wrapText="1"/>
    </xf>
    <xf numFmtId="3" fontId="2" fillId="0" borderId="62" xfId="0" applyNumberFormat="1" applyFont="1" applyFill="1" applyBorder="1" applyAlignment="1">
      <alignment horizontal="right" vertical="center" wrapText="1"/>
    </xf>
    <xf numFmtId="3" fontId="2" fillId="0" borderId="73" xfId="0" applyNumberFormat="1" applyFont="1" applyFill="1" applyBorder="1" applyAlignment="1">
      <alignment horizontal="right" vertical="center" wrapText="1"/>
    </xf>
    <xf numFmtId="0" fontId="3" fillId="0" borderId="54" xfId="0" applyFont="1" applyFill="1" applyBorder="1" applyAlignment="1">
      <alignment vertical="center"/>
    </xf>
    <xf numFmtId="0" fontId="3" fillId="0" borderId="97" xfId="0" applyFont="1" applyFill="1" applyBorder="1" applyAlignment="1">
      <alignment vertical="center"/>
    </xf>
    <xf numFmtId="0" fontId="2" fillId="0" borderId="97" xfId="0" applyFont="1" applyFill="1" applyBorder="1" applyAlignment="1">
      <alignment vertical="center"/>
    </xf>
    <xf numFmtId="0" fontId="2" fillId="0" borderId="101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0" fontId="3" fillId="0" borderId="101" xfId="0" applyFont="1" applyFill="1" applyBorder="1" applyAlignment="1">
      <alignment vertical="center"/>
    </xf>
    <xf numFmtId="3" fontId="3" fillId="0" borderId="48" xfId="0" applyNumberFormat="1" applyFont="1" applyFill="1" applyBorder="1" applyAlignment="1">
      <alignment horizontal="right" vertical="center"/>
    </xf>
    <xf numFmtId="3" fontId="25" fillId="0" borderId="17" xfId="0" applyNumberFormat="1" applyFont="1" applyBorder="1" applyAlignment="1">
      <alignment horizontal="right"/>
    </xf>
    <xf numFmtId="3" fontId="3" fillId="0" borderId="63" xfId="0" applyNumberFormat="1" applyFont="1" applyFill="1" applyBorder="1" applyAlignment="1">
      <alignment horizontal="right" vertical="center"/>
    </xf>
    <xf numFmtId="3" fontId="2" fillId="0" borderId="42" xfId="0" applyNumberFormat="1" applyFont="1" applyFill="1" applyBorder="1" applyAlignment="1">
      <alignment horizontal="right" vertical="center" wrapText="1"/>
    </xf>
    <xf numFmtId="3" fontId="2" fillId="0" borderId="51" xfId="0" applyNumberFormat="1" applyFont="1" applyFill="1" applyBorder="1" applyAlignment="1">
      <alignment horizontal="right" vertical="center" wrapText="1"/>
    </xf>
    <xf numFmtId="3" fontId="2" fillId="0" borderId="48" xfId="0" applyNumberFormat="1" applyFont="1" applyFill="1" applyBorder="1" applyAlignment="1">
      <alignment horizontal="right" vertical="center"/>
    </xf>
    <xf numFmtId="3" fontId="2" fillId="0" borderId="56" xfId="0" applyNumberFormat="1" applyFont="1" applyFill="1" applyBorder="1" applyAlignment="1">
      <alignment horizontal="right" vertical="center"/>
    </xf>
    <xf numFmtId="3" fontId="3" fillId="0" borderId="56" xfId="0" applyNumberFormat="1" applyFont="1" applyFill="1" applyBorder="1" applyAlignment="1">
      <alignment horizontal="right" vertical="center"/>
    </xf>
    <xf numFmtId="3" fontId="3" fillId="0" borderId="100" xfId="0" applyNumberFormat="1" applyFont="1" applyFill="1" applyBorder="1" applyAlignment="1">
      <alignment horizontal="right" vertical="center"/>
    </xf>
    <xf numFmtId="3" fontId="2" fillId="1" borderId="27" xfId="0" applyNumberFormat="1" applyFont="1" applyFill="1" applyBorder="1" applyAlignment="1">
      <alignment horizontal="right" vertical="center"/>
    </xf>
    <xf numFmtId="3" fontId="3" fillId="0" borderId="97" xfId="0" applyNumberFormat="1" applyFont="1" applyFill="1" applyBorder="1" applyAlignment="1">
      <alignment vertical="center"/>
    </xf>
    <xf numFmtId="3" fontId="3" fillId="0" borderId="99" xfId="0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 applyAlignment="1">
      <alignment horizontal="right" vertical="center"/>
    </xf>
    <xf numFmtId="3" fontId="2" fillId="0" borderId="13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vertical="center"/>
    </xf>
    <xf numFmtId="3" fontId="2" fillId="24" borderId="50" xfId="0" applyNumberFormat="1" applyFont="1" applyFill="1" applyBorder="1" applyAlignment="1">
      <alignment horizontal="right" vertical="center"/>
    </xf>
    <xf numFmtId="3" fontId="2" fillId="24" borderId="27" xfId="0" applyNumberFormat="1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 wrapText="1"/>
    </xf>
    <xf numFmtId="3" fontId="2" fillId="0" borderId="46" xfId="0" applyNumberFormat="1" applyFont="1" applyFill="1" applyBorder="1" applyAlignment="1">
      <alignment horizontal="right" vertical="center"/>
    </xf>
    <xf numFmtId="3" fontId="2" fillId="0" borderId="43" xfId="0" applyNumberFormat="1" applyFont="1" applyFill="1" applyBorder="1" applyAlignment="1">
      <alignment horizontal="right" vertical="center"/>
    </xf>
    <xf numFmtId="3" fontId="2" fillId="0" borderId="18" xfId="0" applyNumberFormat="1" applyFont="1" applyFill="1" applyBorder="1" applyAlignment="1">
      <alignment horizontal="right" vertical="center"/>
    </xf>
    <xf numFmtId="3" fontId="2" fillId="0" borderId="51" xfId="0" applyNumberFormat="1" applyFont="1" applyFill="1" applyBorder="1" applyAlignment="1">
      <alignment horizontal="right" vertical="center"/>
    </xf>
    <xf numFmtId="3" fontId="2" fillId="0" borderId="44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vertical="center"/>
    </xf>
    <xf numFmtId="0" fontId="2" fillId="28" borderId="55" xfId="0" applyFont="1" applyFill="1" applyBorder="1" applyAlignment="1">
      <alignment vertical="center" wrapText="1"/>
    </xf>
    <xf numFmtId="3" fontId="2" fillId="0" borderId="39" xfId="0" applyNumberFormat="1" applyFont="1" applyFill="1" applyBorder="1" applyAlignment="1">
      <alignment horizontal="right" vertical="center" wrapText="1"/>
    </xf>
    <xf numFmtId="3" fontId="3" fillId="0" borderId="28" xfId="0" applyNumberFormat="1" applyFont="1" applyFill="1" applyBorder="1" applyAlignment="1">
      <alignment horizontal="right" vertical="center"/>
    </xf>
    <xf numFmtId="3" fontId="2" fillId="0" borderId="38" xfId="0" applyNumberFormat="1" applyFont="1" applyFill="1" applyBorder="1" applyAlignment="1">
      <alignment vertical="center"/>
    </xf>
    <xf numFmtId="3" fontId="2" fillId="0" borderId="34" xfId="0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vertical="center"/>
    </xf>
    <xf numFmtId="3" fontId="3" fillId="0" borderId="38" xfId="0" applyNumberFormat="1" applyFont="1" applyFill="1" applyBorder="1" applyAlignment="1">
      <alignment vertical="center"/>
    </xf>
    <xf numFmtId="3" fontId="3" fillId="0" borderId="34" xfId="0" applyNumberFormat="1" applyFont="1" applyFill="1" applyBorder="1" applyAlignment="1">
      <alignment vertical="center"/>
    </xf>
    <xf numFmtId="0" fontId="2" fillId="28" borderId="47" xfId="0" applyFont="1" applyFill="1" applyBorder="1" applyAlignment="1">
      <alignment horizontal="right" vertical="center"/>
    </xf>
    <xf numFmtId="3" fontId="3" fillId="28" borderId="28" xfId="0" applyNumberFormat="1" applyFont="1" applyFill="1" applyBorder="1" applyAlignment="1">
      <alignment horizontal="right" vertical="center"/>
    </xf>
    <xf numFmtId="3" fontId="2" fillId="28" borderId="38" xfId="0" applyNumberFormat="1" applyFont="1" applyFill="1" applyBorder="1" applyAlignment="1">
      <alignment vertical="center"/>
    </xf>
    <xf numFmtId="3" fontId="2" fillId="28" borderId="34" xfId="0" applyNumberFormat="1" applyFont="1" applyFill="1" applyBorder="1" applyAlignment="1">
      <alignment horizontal="right" vertical="center"/>
    </xf>
    <xf numFmtId="3" fontId="2" fillId="0" borderId="47" xfId="0" applyNumberFormat="1" applyFont="1" applyFill="1" applyBorder="1" applyAlignment="1">
      <alignment horizontal="right" vertical="center"/>
    </xf>
    <xf numFmtId="0" fontId="34" fillId="0" borderId="55" xfId="38" applyFont="1" applyFill="1" applyBorder="1" applyAlignment="1" applyProtection="1">
      <alignment horizontal="center" vertical="center" wrapText="1"/>
    </xf>
    <xf numFmtId="0" fontId="31" fillId="0" borderId="55" xfId="38" applyFont="1" applyFill="1" applyBorder="1" applyAlignment="1" applyProtection="1">
      <alignment horizontal="center" vertical="center" wrapText="1"/>
    </xf>
    <xf numFmtId="3" fontId="3" fillId="0" borderId="17" xfId="39" applyNumberFormat="1" applyFont="1" applyBorder="1" applyAlignment="1">
      <alignment vertical="center"/>
    </xf>
    <xf numFmtId="0" fontId="21" fillId="0" borderId="54" xfId="41" applyBorder="1"/>
    <xf numFmtId="0" fontId="21" fillId="0" borderId="97" xfId="41" applyBorder="1"/>
    <xf numFmtId="0" fontId="56" fillId="28" borderId="91" xfId="0" applyFont="1" applyFill="1" applyBorder="1" applyAlignment="1">
      <alignment horizontal="center"/>
    </xf>
    <xf numFmtId="0" fontId="2" fillId="26" borderId="55" xfId="0" applyFont="1" applyFill="1" applyBorder="1" applyAlignment="1">
      <alignment horizontal="center" vertical="center" wrapText="1"/>
    </xf>
    <xf numFmtId="0" fontId="48" fillId="0" borderId="97" xfId="41" applyFont="1" applyBorder="1" applyAlignment="1">
      <alignment wrapText="1"/>
    </xf>
    <xf numFmtId="0" fontId="48" fillId="0" borderId="67" xfId="40" applyFont="1" applyBorder="1" applyAlignment="1">
      <alignment horizontal="center"/>
    </xf>
    <xf numFmtId="165" fontId="3" fillId="0" borderId="55" xfId="0" applyNumberFormat="1" applyFont="1" applyBorder="1" applyAlignment="1">
      <alignment horizontal="right" vertical="center" wrapText="1"/>
    </xf>
    <xf numFmtId="165" fontId="3" fillId="0" borderId="74" xfId="0" applyNumberFormat="1" applyFont="1" applyBorder="1" applyAlignment="1">
      <alignment vertical="center" wrapText="1"/>
    </xf>
    <xf numFmtId="165" fontId="3" fillId="0" borderId="74" xfId="0" applyNumberFormat="1" applyFont="1" applyBorder="1" applyAlignment="1">
      <alignment horizontal="right" vertical="center" wrapText="1"/>
    </xf>
    <xf numFmtId="165" fontId="3" fillId="0" borderId="78" xfId="0" applyNumberFormat="1" applyFont="1" applyBorder="1" applyAlignment="1">
      <alignment horizontal="right" vertical="center" wrapText="1"/>
    </xf>
    <xf numFmtId="165" fontId="3" fillId="0" borderId="84" xfId="0" applyNumberFormat="1" applyFont="1" applyBorder="1" applyAlignment="1">
      <alignment vertical="center" wrapText="1"/>
    </xf>
    <xf numFmtId="165" fontId="59" fillId="0" borderId="55" xfId="0" applyNumberFormat="1" applyFont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/>
    </xf>
    <xf numFmtId="0" fontId="48" fillId="0" borderId="58" xfId="40" applyFont="1" applyBorder="1" applyAlignment="1">
      <alignment wrapText="1"/>
    </xf>
    <xf numFmtId="0" fontId="48" fillId="0" borderId="18" xfId="40" applyFont="1" applyBorder="1" applyAlignment="1">
      <alignment wrapText="1"/>
    </xf>
    <xf numFmtId="0" fontId="21" fillId="0" borderId="75" xfId="40" applyBorder="1" applyAlignment="1"/>
    <xf numFmtId="0" fontId="21" fillId="0" borderId="58" xfId="40" applyBorder="1" applyAlignment="1">
      <alignment horizontal="center"/>
    </xf>
    <xf numFmtId="0" fontId="21" fillId="0" borderId="18" xfId="40" applyBorder="1" applyAlignment="1">
      <alignment horizontal="center"/>
    </xf>
    <xf numFmtId="1" fontId="62" fillId="0" borderId="85" xfId="0" applyNumberFormat="1" applyFont="1" applyBorder="1" applyAlignment="1">
      <alignment horizontal="center" vertical="center" wrapText="1"/>
    </xf>
    <xf numFmtId="0" fontId="31" fillId="0" borderId="13" xfId="38" applyFont="1" applyFill="1" applyBorder="1" applyAlignment="1" applyProtection="1">
      <alignment horizontal="left" vertical="center" wrapText="1" indent="1"/>
    </xf>
    <xf numFmtId="0" fontId="48" fillId="0" borderId="67" xfId="40" applyFont="1" applyBorder="1" applyAlignment="1">
      <alignment horizontal="center"/>
    </xf>
    <xf numFmtId="0" fontId="2" fillId="26" borderId="55" xfId="0" applyFont="1" applyFill="1" applyBorder="1" applyAlignment="1">
      <alignment horizontal="center" vertical="center" wrapText="1"/>
    </xf>
    <xf numFmtId="0" fontId="48" fillId="0" borderId="40" xfId="40" applyFont="1" applyBorder="1" applyAlignment="1">
      <alignment horizontal="center"/>
    </xf>
    <xf numFmtId="0" fontId="50" fillId="0" borderId="49" xfId="40" applyFont="1" applyBorder="1" applyAlignment="1">
      <alignment wrapText="1"/>
    </xf>
    <xf numFmtId="0" fontId="21" fillId="0" borderId="49" xfId="40" applyBorder="1" applyAlignment="1">
      <alignment wrapText="1"/>
    </xf>
    <xf numFmtId="0" fontId="48" fillId="0" borderId="30" xfId="40" applyFont="1" applyBorder="1" applyAlignment="1">
      <alignment wrapText="1"/>
    </xf>
    <xf numFmtId="0" fontId="48" fillId="0" borderId="26" xfId="40" applyFont="1" applyBorder="1" applyAlignment="1"/>
    <xf numFmtId="0" fontId="21" fillId="0" borderId="11" xfId="40" applyBorder="1" applyAlignment="1">
      <alignment horizontal="center"/>
    </xf>
    <xf numFmtId="0" fontId="50" fillId="0" borderId="75" xfId="40" applyFont="1" applyBorder="1" applyAlignment="1"/>
    <xf numFmtId="0" fontId="21" fillId="0" borderId="30" xfId="40" applyBorder="1" applyAlignment="1">
      <alignment horizontal="center"/>
    </xf>
    <xf numFmtId="0" fontId="48" fillId="0" borderId="75" xfId="40" applyFont="1" applyBorder="1" applyAlignment="1">
      <alignment wrapText="1"/>
    </xf>
    <xf numFmtId="0" fontId="48" fillId="0" borderId="30" xfId="40" applyFont="1" applyBorder="1" applyAlignment="1">
      <alignment horizontal="center"/>
    </xf>
    <xf numFmtId="0" fontId="48" fillId="0" borderId="26" xfId="40" applyFont="1" applyBorder="1" applyAlignment="1">
      <alignment horizontal="center"/>
    </xf>
    <xf numFmtId="0" fontId="48" fillId="0" borderId="38" xfId="40" applyFont="1" applyBorder="1" applyAlignment="1">
      <alignment horizontal="center"/>
    </xf>
    <xf numFmtId="0" fontId="48" fillId="0" borderId="95" xfId="40" applyFont="1" applyBorder="1" applyAlignment="1">
      <alignment wrapText="1"/>
    </xf>
    <xf numFmtId="0" fontId="48" fillId="0" borderId="57" xfId="40" applyFont="1" applyBorder="1" applyAlignment="1"/>
    <xf numFmtId="0" fontId="21" fillId="0" borderId="96" xfId="40" applyBorder="1" applyAlignment="1">
      <alignment horizontal="center"/>
    </xf>
    <xf numFmtId="0" fontId="21" fillId="0" borderId="95" xfId="40" applyBorder="1" applyAlignment="1">
      <alignment horizontal="center"/>
    </xf>
    <xf numFmtId="0" fontId="48" fillId="0" borderId="95" xfId="40" applyFont="1" applyBorder="1" applyAlignment="1">
      <alignment horizontal="center"/>
    </xf>
    <xf numFmtId="0" fontId="48" fillId="0" borderId="57" xfId="40" applyFont="1" applyBorder="1" applyAlignment="1">
      <alignment horizontal="center"/>
    </xf>
    <xf numFmtId="0" fontId="48" fillId="0" borderId="51" xfId="41" applyFont="1" applyBorder="1" applyAlignment="1">
      <alignment wrapText="1"/>
    </xf>
    <xf numFmtId="3" fontId="48" fillId="0" borderId="17" xfId="39" applyNumberFormat="1" applyFont="1" applyBorder="1" applyAlignment="1"/>
    <xf numFmtId="3" fontId="48" fillId="0" borderId="43" xfId="39" applyNumberFormat="1" applyFont="1" applyBorder="1" applyAlignment="1"/>
    <xf numFmtId="0" fontId="48" fillId="0" borderId="0" xfId="39" applyFont="1"/>
    <xf numFmtId="3" fontId="48" fillId="0" borderId="58" xfId="39" applyNumberFormat="1" applyFont="1" applyBorder="1" applyAlignment="1"/>
    <xf numFmtId="0" fontId="2" fillId="0" borderId="33" xfId="0" applyFont="1" applyFill="1" applyBorder="1" applyAlignment="1">
      <alignment vertical="center" wrapText="1"/>
    </xf>
    <xf numFmtId="3" fontId="2" fillId="0" borderId="17" xfId="0" applyNumberFormat="1" applyFont="1" applyFill="1" applyBorder="1" applyAlignment="1">
      <alignment horizontal="right" vertical="center" wrapText="1"/>
    </xf>
    <xf numFmtId="3" fontId="2" fillId="0" borderId="57" xfId="0" applyNumberFormat="1" applyFont="1" applyFill="1" applyBorder="1" applyAlignment="1">
      <alignment horizontal="right" vertical="center" wrapText="1"/>
    </xf>
    <xf numFmtId="3" fontId="3" fillId="0" borderId="58" xfId="0" applyNumberFormat="1" applyFont="1" applyFill="1" applyBorder="1" applyAlignment="1">
      <alignment horizontal="right" vertical="center"/>
    </xf>
    <xf numFmtId="3" fontId="2" fillId="0" borderId="17" xfId="0" applyNumberFormat="1" applyFont="1" applyFill="1" applyBorder="1" applyAlignment="1">
      <alignment horizontal="right" vertical="center"/>
    </xf>
    <xf numFmtId="3" fontId="2" fillId="1" borderId="41" xfId="0" applyNumberFormat="1" applyFont="1" applyFill="1" applyBorder="1" applyAlignment="1">
      <alignment horizontal="right" vertical="center"/>
    </xf>
    <xf numFmtId="3" fontId="2" fillId="24" borderId="41" xfId="0" applyNumberFormat="1" applyFont="1" applyFill="1" applyBorder="1" applyAlignment="1">
      <alignment horizontal="right" vertical="center"/>
    </xf>
    <xf numFmtId="0" fontId="2" fillId="24" borderId="37" xfId="0" applyFont="1" applyFill="1" applyBorder="1" applyAlignment="1">
      <alignment horizontal="right" vertical="center"/>
    </xf>
    <xf numFmtId="3" fontId="2" fillId="0" borderId="54" xfId="0" applyNumberFormat="1" applyFont="1" applyFill="1" applyBorder="1" applyAlignment="1">
      <alignment horizontal="right" vertical="center" wrapText="1"/>
    </xf>
    <xf numFmtId="3" fontId="2" fillId="0" borderId="97" xfId="0" applyNumberFormat="1" applyFont="1" applyFill="1" applyBorder="1" applyAlignment="1">
      <alignment horizontal="right" vertical="center" wrapText="1"/>
    </xf>
    <xf numFmtId="3" fontId="3" fillId="0" borderId="97" xfId="0" applyNumberFormat="1" applyFont="1" applyFill="1" applyBorder="1" applyAlignment="1">
      <alignment horizontal="right" vertical="center"/>
    </xf>
    <xf numFmtId="3" fontId="2" fillId="0" borderId="104" xfId="0" applyNumberFormat="1" applyFont="1" applyFill="1" applyBorder="1" applyAlignment="1">
      <alignment horizontal="right" vertical="center" wrapText="1"/>
    </xf>
    <xf numFmtId="3" fontId="3" fillId="0" borderId="98" xfId="0" applyNumberFormat="1" applyFont="1" applyFill="1" applyBorder="1" applyAlignment="1">
      <alignment horizontal="right" vertical="center"/>
    </xf>
    <xf numFmtId="3" fontId="2" fillId="0" borderId="54" xfId="0" applyNumberFormat="1" applyFont="1" applyFill="1" applyBorder="1" applyAlignment="1">
      <alignment horizontal="right" vertical="center"/>
    </xf>
    <xf numFmtId="3" fontId="3" fillId="0" borderId="101" xfId="0" applyNumberFormat="1" applyFont="1" applyFill="1" applyBorder="1" applyAlignment="1">
      <alignment horizontal="right" vertical="center"/>
    </xf>
    <xf numFmtId="3" fontId="2" fillId="0" borderId="104" xfId="0" applyNumberFormat="1" applyFont="1" applyFill="1" applyBorder="1" applyAlignment="1">
      <alignment horizontal="right" vertical="center"/>
    </xf>
    <xf numFmtId="3" fontId="2" fillId="0" borderId="97" xfId="0" applyNumberFormat="1" applyFont="1" applyFill="1" applyBorder="1" applyAlignment="1">
      <alignment horizontal="right" vertical="center"/>
    </xf>
    <xf numFmtId="3" fontId="2" fillId="1" borderId="55" xfId="0" applyNumberFormat="1" applyFont="1" applyFill="1" applyBorder="1" applyAlignment="1">
      <alignment horizontal="right" vertical="center"/>
    </xf>
    <xf numFmtId="3" fontId="2" fillId="24" borderId="55" xfId="0" applyNumberFormat="1" applyFont="1" applyFill="1" applyBorder="1" applyAlignment="1">
      <alignment horizontal="right" vertical="center"/>
    </xf>
    <xf numFmtId="3" fontId="3" fillId="0" borderId="54" xfId="0" applyNumberFormat="1" applyFont="1" applyFill="1" applyBorder="1" applyAlignment="1">
      <alignment horizontal="right" vertical="center"/>
    </xf>
    <xf numFmtId="0" fontId="2" fillId="24" borderId="55" xfId="0" applyFont="1" applyFill="1" applyBorder="1" applyAlignment="1">
      <alignment horizontal="right" vertical="center"/>
    </xf>
    <xf numFmtId="165" fontId="3" fillId="0" borderId="55" xfId="0" applyNumberFormat="1" applyFont="1" applyBorder="1" applyAlignment="1"/>
    <xf numFmtId="3" fontId="0" fillId="0" borderId="0" xfId="0" applyNumberFormat="1" applyFont="1"/>
    <xf numFmtId="0" fontId="0" fillId="0" borderId="0" xfId="0" applyFont="1"/>
    <xf numFmtId="3" fontId="2" fillId="24" borderId="28" xfId="0" applyNumberFormat="1" applyFont="1" applyFill="1" applyBorder="1" applyAlignment="1">
      <alignment horizontal="right" vertical="center"/>
    </xf>
    <xf numFmtId="0" fontId="68" fillId="0" borderId="0" xfId="0" applyFont="1"/>
    <xf numFmtId="0" fontId="68" fillId="0" borderId="0" xfId="0" applyFont="1" applyAlignment="1">
      <alignment horizontal="right"/>
    </xf>
    <xf numFmtId="0" fontId="70" fillId="28" borderId="11" xfId="0" applyFont="1" applyFill="1" applyBorder="1" applyAlignment="1">
      <alignment horizontal="center" vertical="top" wrapText="1"/>
    </xf>
    <xf numFmtId="0" fontId="50" fillId="0" borderId="11" xfId="0" applyFont="1" applyBorder="1" applyAlignment="1">
      <alignment horizontal="center" vertical="top" wrapText="1"/>
    </xf>
    <xf numFmtId="0" fontId="50" fillId="0" borderId="11" xfId="0" applyFont="1" applyBorder="1" applyAlignment="1">
      <alignment horizontal="left" vertical="top" wrapText="1"/>
    </xf>
    <xf numFmtId="3" fontId="50" fillId="0" borderId="11" xfId="0" applyNumberFormat="1" applyFont="1" applyBorder="1" applyAlignment="1">
      <alignment horizontal="right" vertical="top" wrapText="1"/>
    </xf>
    <xf numFmtId="0" fontId="48" fillId="0" borderId="11" xfId="0" applyFont="1" applyBorder="1" applyAlignment="1">
      <alignment horizontal="center" vertical="top" wrapText="1"/>
    </xf>
    <xf numFmtId="0" fontId="48" fillId="0" borderId="11" xfId="0" applyFont="1" applyBorder="1" applyAlignment="1">
      <alignment horizontal="left" vertical="top" wrapText="1"/>
    </xf>
    <xf numFmtId="3" fontId="48" fillId="0" borderId="11" xfId="0" applyNumberFormat="1" applyFont="1" applyBorder="1" applyAlignment="1">
      <alignment horizontal="right" vertical="top" wrapText="1"/>
    </xf>
    <xf numFmtId="0" fontId="71" fillId="0" borderId="0" xfId="0" applyFont="1" applyAlignment="1">
      <alignment horizontal="center" wrapText="1"/>
    </xf>
    <xf numFmtId="0" fontId="71" fillId="0" borderId="0" xfId="0" applyFont="1"/>
    <xf numFmtId="0" fontId="71" fillId="0" borderId="0" xfId="0" applyFont="1" applyAlignment="1"/>
    <xf numFmtId="0" fontId="5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right"/>
    </xf>
    <xf numFmtId="0" fontId="50" fillId="28" borderId="11" xfId="0" applyFont="1" applyFill="1" applyBorder="1" applyAlignment="1">
      <alignment horizontal="center" vertical="top" wrapText="1"/>
    </xf>
    <xf numFmtId="0" fontId="0" fillId="0" borderId="11" xfId="0" applyFont="1" applyBorder="1"/>
    <xf numFmtId="0" fontId="50" fillId="0" borderId="11" xfId="0" quotePrefix="1" applyFont="1" applyBorder="1" applyAlignment="1">
      <alignment horizontal="center" vertical="top" wrapText="1"/>
    </xf>
    <xf numFmtId="0" fontId="50" fillId="0" borderId="11" xfId="0" quotePrefix="1" applyFont="1" applyBorder="1" applyAlignment="1">
      <alignment horizontal="left" vertical="top" wrapText="1"/>
    </xf>
    <xf numFmtId="0" fontId="48" fillId="0" borderId="11" xfId="0" quotePrefix="1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0" fillId="0" borderId="57" xfId="0" applyFont="1" applyBorder="1" applyAlignment="1">
      <alignment horizontal="center"/>
    </xf>
    <xf numFmtId="0" fontId="48" fillId="28" borderId="1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0" borderId="0" xfId="0" applyAlignment="1"/>
    <xf numFmtId="0" fontId="50" fillId="28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25" fillId="0" borderId="69" xfId="0" applyFont="1" applyBorder="1" applyAlignment="1">
      <alignment horizontal="center"/>
    </xf>
    <xf numFmtId="0" fontId="25" fillId="0" borderId="69" xfId="0" applyFont="1" applyBorder="1" applyAlignment="1"/>
    <xf numFmtId="0" fontId="73" fillId="0" borderId="0" xfId="0" applyFont="1" applyAlignment="1">
      <alignment horizontal="center"/>
    </xf>
    <xf numFmtId="0" fontId="70" fillId="28" borderId="11" xfId="0" applyFont="1" applyFill="1" applyBorder="1" applyAlignment="1">
      <alignment vertical="top" wrapText="1"/>
    </xf>
    <xf numFmtId="0" fontId="50" fillId="0" borderId="11" xfId="0" applyFont="1" applyBorder="1" applyAlignment="1">
      <alignment vertical="top" wrapText="1"/>
    </xf>
    <xf numFmtId="0" fontId="48" fillId="0" borderId="11" xfId="0" applyFont="1" applyBorder="1" applyAlignment="1">
      <alignment vertical="top" wrapText="1"/>
    </xf>
    <xf numFmtId="0" fontId="50" fillId="0" borderId="0" xfId="0" applyFont="1" applyAlignment="1">
      <alignment horizontal="right"/>
    </xf>
    <xf numFmtId="0" fontId="50" fillId="0" borderId="0" xfId="0" applyFont="1" applyAlignment="1"/>
    <xf numFmtId="0" fontId="25" fillId="0" borderId="0" xfId="0" applyFont="1"/>
    <xf numFmtId="0" fontId="2" fillId="0" borderId="0" xfId="0" applyFont="1" applyAlignment="1">
      <alignment horizontal="right" vertical="center" wrapText="1"/>
    </xf>
    <xf numFmtId="0" fontId="56" fillId="0" borderId="0" xfId="0" applyFont="1" applyAlignment="1">
      <alignment horizontal="center" vertical="center" wrapText="1"/>
    </xf>
    <xf numFmtId="0" fontId="56" fillId="0" borderId="69" xfId="0" applyFont="1" applyBorder="1" applyAlignment="1">
      <alignment horizontal="center" vertical="center" wrapText="1"/>
    </xf>
    <xf numFmtId="0" fontId="56" fillId="0" borderId="77" xfId="0" applyFont="1" applyBorder="1" applyAlignment="1">
      <alignment vertical="center" wrapText="1"/>
    </xf>
    <xf numFmtId="0" fontId="56" fillId="0" borderId="78" xfId="0" applyFont="1" applyBorder="1" applyAlignment="1">
      <alignment vertical="center" wrapText="1"/>
    </xf>
    <xf numFmtId="0" fontId="21" fillId="0" borderId="0" xfId="39" applyAlignment="1">
      <alignment horizontal="center"/>
    </xf>
    <xf numFmtId="0" fontId="50" fillId="0" borderId="0" xfId="39" applyFont="1" applyAlignment="1">
      <alignment horizontal="right" wrapText="1"/>
    </xf>
    <xf numFmtId="0" fontId="21" fillId="0" borderId="0" xfId="39" applyFont="1" applyAlignment="1">
      <alignment horizontal="right" wrapText="1"/>
    </xf>
    <xf numFmtId="0" fontId="50" fillId="0" borderId="0" xfId="39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2" fillId="24" borderId="33" xfId="0" applyNumberFormat="1" applyFont="1" applyFill="1" applyBorder="1" applyAlignment="1">
      <alignment horizontal="center" vertical="center"/>
    </xf>
    <xf numFmtId="3" fontId="2" fillId="24" borderId="42" xfId="0" applyNumberFormat="1" applyFont="1" applyFill="1" applyBorder="1" applyAlignment="1">
      <alignment horizontal="center" vertical="center"/>
    </xf>
    <xf numFmtId="3" fontId="2" fillId="24" borderId="32" xfId="0" applyNumberFormat="1" applyFont="1" applyFill="1" applyBorder="1" applyAlignment="1">
      <alignment horizontal="center" vertical="center"/>
    </xf>
    <xf numFmtId="3" fontId="2" fillId="24" borderId="10" xfId="0" applyNumberFormat="1" applyFont="1" applyFill="1" applyBorder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60" xfId="0" applyNumberFormat="1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" fillId="24" borderId="27" xfId="0" applyNumberFormat="1" applyFont="1" applyFill="1" applyBorder="1" applyAlignment="1">
      <alignment horizontal="center" vertical="center" wrapText="1"/>
    </xf>
    <xf numFmtId="3" fontId="2" fillId="24" borderId="43" xfId="0" applyNumberFormat="1" applyFont="1" applyFill="1" applyBorder="1" applyAlignment="1">
      <alignment horizontal="center" vertical="center" wrapText="1"/>
    </xf>
    <xf numFmtId="3" fontId="2" fillId="24" borderId="51" xfId="0" applyNumberFormat="1" applyFont="1" applyFill="1" applyBorder="1" applyAlignment="1">
      <alignment horizontal="center" vertical="center" wrapText="1"/>
    </xf>
    <xf numFmtId="3" fontId="2" fillId="24" borderId="3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4" borderId="22" xfId="0" applyFont="1" applyFill="1" applyBorder="1" applyAlignment="1">
      <alignment horizontal="left" vertical="center"/>
    </xf>
    <xf numFmtId="0" fontId="2" fillId="24" borderId="20" xfId="0" applyFont="1" applyFill="1" applyBorder="1" applyAlignment="1">
      <alignment horizontal="left" vertical="center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1" borderId="29" xfId="0" applyFont="1" applyFill="1" applyBorder="1" applyAlignment="1">
      <alignment horizontal="left" vertical="center"/>
    </xf>
    <xf numFmtId="0" fontId="2" fillId="1" borderId="19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55" fillId="0" borderId="0" xfId="0" applyFont="1" applyAlignment="1">
      <alignment horizontal="right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28" borderId="66" xfId="0" applyFont="1" applyFill="1" applyBorder="1" applyAlignment="1">
      <alignment horizontal="center" vertical="center"/>
    </xf>
    <xf numFmtId="0" fontId="2" fillId="28" borderId="67" xfId="0" applyFont="1" applyFill="1" applyBorder="1" applyAlignment="1">
      <alignment horizontal="center" vertical="center"/>
    </xf>
    <xf numFmtId="0" fontId="2" fillId="28" borderId="61" xfId="0" applyFont="1" applyFill="1" applyBorder="1" applyAlignment="1">
      <alignment horizontal="center" vertical="center"/>
    </xf>
    <xf numFmtId="3" fontId="47" fillId="24" borderId="52" xfId="0" applyNumberFormat="1" applyFont="1" applyFill="1" applyBorder="1" applyAlignment="1">
      <alignment horizontal="center" vertical="center" wrapText="1"/>
    </xf>
    <xf numFmtId="3" fontId="47" fillId="24" borderId="31" xfId="0" applyNumberFormat="1" applyFont="1" applyFill="1" applyBorder="1" applyAlignment="1">
      <alignment horizontal="center" vertical="center" wrapText="1"/>
    </xf>
    <xf numFmtId="0" fontId="2" fillId="28" borderId="24" xfId="0" applyFont="1" applyFill="1" applyBorder="1" applyAlignment="1">
      <alignment horizontal="center" vertical="center"/>
    </xf>
    <xf numFmtId="0" fontId="2" fillId="28" borderId="3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center" wrapText="1"/>
    </xf>
    <xf numFmtId="0" fontId="3" fillId="0" borderId="65" xfId="0" applyFont="1" applyFill="1" applyBorder="1" applyAlignment="1">
      <alignment horizontal="left" vertical="center" wrapText="1"/>
    </xf>
    <xf numFmtId="3" fontId="47" fillId="24" borderId="17" xfId="0" applyNumberFormat="1" applyFont="1" applyFill="1" applyBorder="1" applyAlignment="1">
      <alignment horizontal="center" vertical="center" wrapText="1"/>
    </xf>
    <xf numFmtId="3" fontId="47" fillId="24" borderId="58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0" fontId="2" fillId="1" borderId="38" xfId="0" applyFont="1" applyFill="1" applyBorder="1" applyAlignment="1">
      <alignment horizontal="left" vertical="center"/>
    </xf>
    <xf numFmtId="3" fontId="2" fillId="24" borderId="63" xfId="0" applyNumberFormat="1" applyFont="1" applyFill="1" applyBorder="1" applyAlignment="1">
      <alignment horizontal="center" vertical="center" wrapText="1"/>
    </xf>
    <xf numFmtId="3" fontId="2" fillId="24" borderId="65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/>
    </xf>
    <xf numFmtId="0" fontId="2" fillId="24" borderId="12" xfId="0" applyFont="1" applyFill="1" applyBorder="1" applyAlignment="1">
      <alignment horizontal="center" vertical="center" wrapText="1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69" xfId="0" applyFont="1" applyFill="1" applyBorder="1" applyAlignment="1">
      <alignment horizontal="center" vertical="center" wrapText="1"/>
    </xf>
    <xf numFmtId="3" fontId="2" fillId="24" borderId="66" xfId="0" applyNumberFormat="1" applyFont="1" applyFill="1" applyBorder="1" applyAlignment="1">
      <alignment horizontal="center" vertical="center"/>
    </xf>
    <xf numFmtId="3" fontId="2" fillId="24" borderId="67" xfId="0" applyNumberFormat="1" applyFont="1" applyFill="1" applyBorder="1" applyAlignment="1">
      <alignment horizontal="center" vertical="center"/>
    </xf>
    <xf numFmtId="3" fontId="2" fillId="24" borderId="61" xfId="0" applyNumberFormat="1" applyFont="1" applyFill="1" applyBorder="1" applyAlignment="1">
      <alignment horizontal="center" vertical="center"/>
    </xf>
    <xf numFmtId="0" fontId="2" fillId="24" borderId="38" xfId="0" applyFont="1" applyFill="1" applyBorder="1" applyAlignment="1">
      <alignment horizontal="left" vertical="center"/>
    </xf>
    <xf numFmtId="0" fontId="2" fillId="24" borderId="41" xfId="0" applyFont="1" applyFill="1" applyBorder="1" applyAlignment="1">
      <alignment horizontal="left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58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center"/>
    </xf>
    <xf numFmtId="0" fontId="3" fillId="0" borderId="65" xfId="0" applyFont="1" applyFill="1" applyBorder="1" applyAlignment="1">
      <alignment horizontal="left" vertical="center"/>
    </xf>
    <xf numFmtId="3" fontId="2" fillId="24" borderId="48" xfId="0" applyNumberFormat="1" applyFont="1" applyFill="1" applyBorder="1" applyAlignment="1">
      <alignment horizontal="center" vertical="center"/>
    </xf>
    <xf numFmtId="3" fontId="2" fillId="24" borderId="98" xfId="0" applyNumberFormat="1" applyFont="1" applyFill="1" applyBorder="1" applyAlignment="1">
      <alignment horizontal="center" vertical="center" wrapText="1"/>
    </xf>
    <xf numFmtId="3" fontId="2" fillId="24" borderId="78" xfId="0" applyNumberFormat="1" applyFont="1" applyFill="1" applyBorder="1" applyAlignment="1">
      <alignment horizontal="center"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3" fontId="2" fillId="24" borderId="47" xfId="0" applyNumberFormat="1" applyFont="1" applyFill="1" applyBorder="1" applyAlignment="1">
      <alignment horizontal="center" vertical="center" wrapText="1"/>
    </xf>
    <xf numFmtId="0" fontId="2" fillId="24" borderId="70" xfId="0" applyFont="1" applyFill="1" applyBorder="1" applyAlignment="1">
      <alignment horizontal="center" vertical="center" wrapText="1"/>
    </xf>
    <xf numFmtId="0" fontId="2" fillId="24" borderId="59" xfId="0" applyFont="1" applyFill="1" applyBorder="1" applyAlignment="1">
      <alignment horizontal="center" vertical="center" wrapText="1"/>
    </xf>
    <xf numFmtId="0" fontId="2" fillId="24" borderId="7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left" vertical="center"/>
    </xf>
    <xf numFmtId="0" fontId="2" fillId="0" borderId="65" xfId="0" applyFont="1" applyFill="1" applyBorder="1" applyAlignment="1">
      <alignment horizontal="left" vertical="center"/>
    </xf>
    <xf numFmtId="0" fontId="2" fillId="1" borderId="37" xfId="0" applyFont="1" applyFill="1" applyBorder="1" applyAlignment="1">
      <alignment horizontal="left" vertical="center"/>
    </xf>
    <xf numFmtId="0" fontId="2" fillId="24" borderId="72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left" vertical="center"/>
    </xf>
    <xf numFmtId="0" fontId="2" fillId="24" borderId="45" xfId="0" applyFont="1" applyFill="1" applyBorder="1" applyAlignment="1">
      <alignment horizontal="left" vertical="center"/>
    </xf>
    <xf numFmtId="0" fontId="2" fillId="25" borderId="41" xfId="0" applyFont="1" applyFill="1" applyBorder="1" applyAlignment="1">
      <alignment horizontal="left" vertical="center"/>
    </xf>
    <xf numFmtId="0" fontId="2" fillId="25" borderId="45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left" vertical="center"/>
    </xf>
    <xf numFmtId="3" fontId="2" fillId="24" borderId="37" xfId="0" applyNumberFormat="1" applyFont="1" applyFill="1" applyBorder="1" applyAlignment="1">
      <alignment horizontal="center" vertical="center" shrinkToFit="1"/>
    </xf>
    <xf numFmtId="3" fontId="2" fillId="24" borderId="72" xfId="0" applyNumberFormat="1" applyFont="1" applyFill="1" applyBorder="1" applyAlignment="1">
      <alignment horizontal="center" vertical="center" shrinkToFit="1"/>
    </xf>
    <xf numFmtId="0" fontId="48" fillId="0" borderId="66" xfId="40" applyFont="1" applyBorder="1" applyAlignment="1">
      <alignment horizontal="center"/>
    </xf>
    <xf numFmtId="0" fontId="48" fillId="0" borderId="67" xfId="40" applyFont="1" applyBorder="1" applyAlignment="1">
      <alignment horizontal="center"/>
    </xf>
    <xf numFmtId="0" fontId="48" fillId="0" borderId="61" xfId="40" applyFont="1" applyBorder="1" applyAlignment="1">
      <alignment horizontal="center"/>
    </xf>
    <xf numFmtId="0" fontId="50" fillId="0" borderId="0" xfId="40" applyFont="1" applyAlignment="1">
      <alignment horizontal="center"/>
    </xf>
    <xf numFmtId="0" fontId="48" fillId="0" borderId="35" xfId="41" applyFont="1" applyBorder="1" applyAlignment="1">
      <alignment horizontal="left" wrapText="1"/>
    </xf>
    <xf numFmtId="0" fontId="48" fillId="0" borderId="65" xfId="41" applyFont="1" applyBorder="1" applyAlignment="1">
      <alignment horizontal="left" wrapText="1"/>
    </xf>
    <xf numFmtId="0" fontId="50" fillId="0" borderId="0" xfId="41" applyFont="1" applyAlignment="1">
      <alignment horizontal="center" wrapText="1"/>
    </xf>
    <xf numFmtId="0" fontId="48" fillId="0" borderId="0" xfId="41" applyFont="1" applyAlignment="1">
      <alignment horizontal="center"/>
    </xf>
    <xf numFmtId="0" fontId="55" fillId="0" borderId="0" xfId="0" applyFont="1" applyAlignment="1">
      <alignment horizontal="right" vertical="center"/>
    </xf>
    <xf numFmtId="0" fontId="2" fillId="0" borderId="93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2" fillId="27" borderId="15" xfId="0" applyFont="1" applyFill="1" applyBorder="1" applyAlignment="1">
      <alignment horizontal="center" vertical="center" wrapText="1"/>
    </xf>
    <xf numFmtId="0" fontId="2" fillId="27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7" borderId="37" xfId="0" applyFont="1" applyFill="1" applyBorder="1" applyAlignment="1">
      <alignment horizontal="center" vertical="center" wrapText="1"/>
    </xf>
    <xf numFmtId="0" fontId="2" fillId="27" borderId="72" xfId="0" applyFont="1" applyFill="1" applyBorder="1" applyAlignment="1">
      <alignment horizontal="center" vertical="center" wrapText="1"/>
    </xf>
    <xf numFmtId="0" fontId="2" fillId="26" borderId="49" xfId="0" applyFont="1" applyFill="1" applyBorder="1" applyAlignment="1">
      <alignment horizontal="center" vertical="center" wrapText="1"/>
    </xf>
    <xf numFmtId="0" fontId="2" fillId="26" borderId="62" xfId="0" applyFont="1" applyFill="1" applyBorder="1" applyAlignment="1">
      <alignment horizontal="center" vertical="center" wrapText="1"/>
    </xf>
    <xf numFmtId="0" fontId="2" fillId="26" borderId="55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7" fillId="0" borderId="28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1" fillId="0" borderId="72" xfId="38" applyFont="1" applyFill="1" applyBorder="1" applyAlignment="1" applyProtection="1">
      <alignment horizontal="center" vertical="center" wrapText="1"/>
    </xf>
    <xf numFmtId="0" fontId="46" fillId="0" borderId="0" xfId="38" applyFont="1" applyFill="1" applyBorder="1" applyAlignment="1">
      <alignment horizontal="left" vertical="top" wrapText="1"/>
    </xf>
    <xf numFmtId="0" fontId="31" fillId="0" borderId="66" xfId="38" applyFont="1" applyFill="1" applyBorder="1" applyAlignment="1" applyProtection="1">
      <alignment horizontal="center" vertical="center" wrapText="1"/>
    </xf>
    <xf numFmtId="0" fontId="31" fillId="0" borderId="67" xfId="38" applyFont="1" applyFill="1" applyBorder="1" applyAlignment="1" applyProtection="1">
      <alignment horizontal="center" vertical="center" wrapText="1"/>
    </xf>
    <xf numFmtId="0" fontId="31" fillId="0" borderId="45" xfId="38" applyFont="1" applyFill="1" applyBorder="1" applyAlignment="1" applyProtection="1">
      <alignment horizontal="center" vertical="center" wrapText="1"/>
    </xf>
    <xf numFmtId="0" fontId="31" fillId="0" borderId="37" xfId="38" applyFont="1" applyFill="1" applyBorder="1" applyAlignment="1" applyProtection="1">
      <alignment horizontal="center" vertical="center"/>
      <protection locked="0"/>
    </xf>
    <xf numFmtId="0" fontId="31" fillId="0" borderId="40" xfId="38" applyFont="1" applyFill="1" applyBorder="1" applyAlignment="1" applyProtection="1">
      <alignment horizontal="center" vertical="center"/>
      <protection locked="0"/>
    </xf>
    <xf numFmtId="0" fontId="31" fillId="0" borderId="72" xfId="38" applyFont="1" applyFill="1" applyBorder="1" applyAlignment="1" applyProtection="1">
      <alignment horizontal="center" vertical="center"/>
      <protection locked="0"/>
    </xf>
    <xf numFmtId="0" fontId="5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52" fillId="0" borderId="0" xfId="42" applyFont="1" applyAlignment="1">
      <alignment horizontal="center"/>
    </xf>
    <xf numFmtId="0" fontId="64" fillId="0" borderId="0" xfId="0" applyFont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56" fillId="28" borderId="102" xfId="0" applyFont="1" applyFill="1" applyBorder="1" applyAlignment="1">
      <alignment horizontal="center" vertical="center" wrapText="1"/>
    </xf>
    <xf numFmtId="0" fontId="56" fillId="28" borderId="10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5" fillId="0" borderId="0" xfId="0" applyFont="1" applyAlignment="1">
      <alignment horizontal="center" wrapText="1"/>
    </xf>
    <xf numFmtId="0" fontId="68" fillId="0" borderId="0" xfId="0" applyFont="1" applyAlignment="1">
      <alignment horizontal="right"/>
    </xf>
    <xf numFmtId="0" fontId="69" fillId="28" borderId="17" xfId="0" applyFont="1" applyFill="1" applyBorder="1" applyAlignment="1">
      <alignment horizontal="center" vertical="top" wrapText="1"/>
    </xf>
    <xf numFmtId="0" fontId="69" fillId="28" borderId="96" xfId="0" applyFont="1" applyFill="1" applyBorder="1" applyAlignment="1">
      <alignment horizontal="center" vertical="top" wrapText="1"/>
    </xf>
    <xf numFmtId="0" fontId="69" fillId="28" borderId="52" xfId="0" applyFont="1" applyFill="1" applyBorder="1" applyAlignment="1">
      <alignment horizontal="center" vertical="top" wrapText="1"/>
    </xf>
    <xf numFmtId="0" fontId="71" fillId="0" borderId="0" xfId="0" applyFont="1" applyAlignment="1">
      <alignment horizontal="center" wrapText="1"/>
    </xf>
    <xf numFmtId="0" fontId="72" fillId="0" borderId="0" xfId="0" applyFont="1" applyAlignment="1">
      <alignment horizontal="center" wrapText="1"/>
    </xf>
    <xf numFmtId="3" fontId="71" fillId="0" borderId="0" xfId="0" applyNumberFormat="1" applyFont="1" applyAlignment="1">
      <alignment horizontal="right"/>
    </xf>
    <xf numFmtId="0" fontId="48" fillId="28" borderId="11" xfId="0" applyFont="1" applyFill="1" applyBorder="1" applyAlignment="1">
      <alignment horizontal="center" vertical="top" wrapText="1"/>
    </xf>
    <xf numFmtId="0" fontId="25" fillId="28" borderId="11" xfId="0" applyFont="1" applyFill="1" applyBorder="1"/>
    <xf numFmtId="0" fontId="0" fillId="0" borderId="0" xfId="0" applyFont="1" applyAlignment="1">
      <alignment horizontal="center" wrapText="1"/>
    </xf>
    <xf numFmtId="0" fontId="25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69" fillId="28" borderId="1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0 Nemesbüki Óvoda Óvoda ki-be" xfId="38"/>
    <cellStyle name="Normál_15 2.melléklet-bevételek" xfId="39"/>
    <cellStyle name="Normál_16 2015 működése" xfId="40"/>
    <cellStyle name="Normál_19 Szoc.pol juttatások-2015" xfId="41"/>
    <cellStyle name="Normál_5. 2015-közvetett támogatás" xfId="42"/>
    <cellStyle name="Normál_KVRENMUNKA" xfId="43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13"/>
  <sheetViews>
    <sheetView view="pageBreakPreview" zoomScale="118" zoomScaleNormal="100" zoomScaleSheetLayoutView="118" workbookViewId="0">
      <selection activeCell="B15" sqref="B15"/>
    </sheetView>
  </sheetViews>
  <sheetFormatPr defaultRowHeight="12.75" x14ac:dyDescent="0.2"/>
  <cols>
    <col min="1" max="1" width="11" customWidth="1"/>
    <col min="2" max="2" width="76.140625" customWidth="1"/>
  </cols>
  <sheetData>
    <row r="1" spans="1:3" ht="26.25" customHeight="1" x14ac:dyDescent="0.2">
      <c r="A1" s="626" t="s">
        <v>673</v>
      </c>
      <c r="B1" s="626"/>
      <c r="C1" s="411"/>
    </row>
    <row r="2" spans="1:3" x14ac:dyDescent="0.2">
      <c r="A2" s="409"/>
      <c r="B2" s="409" t="s">
        <v>408</v>
      </c>
    </row>
    <row r="3" spans="1:3" ht="112.5" customHeight="1" x14ac:dyDescent="0.2">
      <c r="A3" s="627" t="s">
        <v>216</v>
      </c>
      <c r="B3" s="627"/>
    </row>
    <row r="4" spans="1:3" ht="13.5" customHeight="1" thickBot="1" x14ac:dyDescent="0.25">
      <c r="A4" s="628"/>
      <c r="B4" s="628"/>
    </row>
    <row r="5" spans="1:3" ht="18" customHeight="1" x14ac:dyDescent="0.2">
      <c r="A5" s="629" t="s">
        <v>217</v>
      </c>
      <c r="B5" s="629" t="s">
        <v>218</v>
      </c>
    </row>
    <row r="6" spans="1:3" ht="13.5" thickBot="1" x14ac:dyDescent="0.25">
      <c r="A6" s="630"/>
      <c r="B6" s="630"/>
    </row>
    <row r="7" spans="1:3" ht="65.25" customHeight="1" x14ac:dyDescent="0.2">
      <c r="A7" s="629" t="s">
        <v>219</v>
      </c>
      <c r="B7" s="629" t="s">
        <v>10</v>
      </c>
    </row>
    <row r="8" spans="1:3" ht="13.5" thickBot="1" x14ac:dyDescent="0.25">
      <c r="A8" s="630"/>
      <c r="B8" s="630"/>
    </row>
    <row r="9" spans="1:3" ht="15.75" x14ac:dyDescent="0.2">
      <c r="A9" s="261"/>
      <c r="B9" s="263"/>
    </row>
    <row r="10" spans="1:3" ht="15.75" x14ac:dyDescent="0.2">
      <c r="A10" s="261" t="s">
        <v>220</v>
      </c>
      <c r="B10" s="263" t="s">
        <v>60</v>
      </c>
    </row>
    <row r="11" spans="1:3" ht="16.5" thickBot="1" x14ac:dyDescent="0.25">
      <c r="A11" s="262"/>
      <c r="B11" s="264"/>
    </row>
    <row r="12" spans="1:3" ht="15.75" x14ac:dyDescent="0.2">
      <c r="A12" s="265"/>
    </row>
    <row r="13" spans="1:3" ht="18.75" x14ac:dyDescent="0.2">
      <c r="A13" s="266"/>
    </row>
  </sheetData>
  <mergeCells count="6">
    <mergeCell ref="A1:B1"/>
    <mergeCell ref="A3:B4"/>
    <mergeCell ref="A5:A6"/>
    <mergeCell ref="B5:B6"/>
    <mergeCell ref="A7:A8"/>
    <mergeCell ref="B7:B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13"/>
  <sheetViews>
    <sheetView view="pageBreakPreview" zoomScale="145" zoomScaleNormal="100" zoomScaleSheetLayoutView="145" workbookViewId="0">
      <selection sqref="A1:E1"/>
    </sheetView>
  </sheetViews>
  <sheetFormatPr defaultRowHeight="12.75" x14ac:dyDescent="0.2"/>
  <cols>
    <col min="1" max="1" width="7.42578125" style="169" customWidth="1"/>
    <col min="2" max="2" width="33.85546875" style="169" customWidth="1"/>
    <col min="3" max="3" width="14.42578125" style="169" customWidth="1"/>
    <col min="4" max="4" width="16.85546875" style="169" customWidth="1"/>
    <col min="5" max="5" width="11.5703125" style="169" customWidth="1"/>
    <col min="6" max="16384" width="9.140625" style="169"/>
  </cols>
  <sheetData>
    <row r="1" spans="1:6" ht="26.25" customHeight="1" x14ac:dyDescent="0.2">
      <c r="A1" s="754" t="s">
        <v>678</v>
      </c>
      <c r="B1" s="754"/>
      <c r="C1" s="754"/>
      <c r="D1" s="754"/>
      <c r="E1" s="754"/>
      <c r="F1" s="171"/>
    </row>
    <row r="2" spans="1:6" x14ac:dyDescent="0.2">
      <c r="A2" s="406"/>
      <c r="B2" s="406"/>
      <c r="D2" s="406" t="s">
        <v>415</v>
      </c>
      <c r="E2" s="171"/>
      <c r="F2" s="171"/>
    </row>
    <row r="3" spans="1:6" x14ac:dyDescent="0.2">
      <c r="A3" s="755" t="s">
        <v>185</v>
      </c>
      <c r="B3" s="755"/>
      <c r="C3" s="755"/>
      <c r="D3" s="755"/>
      <c r="E3" s="755"/>
      <c r="F3" s="170"/>
    </row>
    <row r="4" spans="1:6" x14ac:dyDescent="0.2">
      <c r="A4" s="755" t="s">
        <v>392</v>
      </c>
      <c r="B4" s="755"/>
      <c r="C4" s="755"/>
      <c r="D4" s="755"/>
      <c r="E4" s="755"/>
      <c r="F4" s="226"/>
    </row>
    <row r="5" spans="1:6" ht="13.5" thickBot="1" x14ac:dyDescent="0.25"/>
    <row r="6" spans="1:6" x14ac:dyDescent="0.2">
      <c r="A6" s="227" t="s">
        <v>188</v>
      </c>
      <c r="B6" s="228"/>
      <c r="C6" s="232"/>
      <c r="D6" s="519"/>
      <c r="E6" s="519"/>
    </row>
    <row r="7" spans="1:6" ht="26.25" thickBot="1" x14ac:dyDescent="0.25">
      <c r="A7" s="229" t="s">
        <v>62</v>
      </c>
      <c r="B7" s="229" t="s">
        <v>189</v>
      </c>
      <c r="C7" s="560" t="s">
        <v>64</v>
      </c>
      <c r="D7" s="523" t="s">
        <v>431</v>
      </c>
      <c r="E7" s="523" t="s">
        <v>255</v>
      </c>
    </row>
    <row r="8" spans="1:6" ht="27" customHeight="1" x14ac:dyDescent="0.2">
      <c r="A8" s="233" t="s">
        <v>206</v>
      </c>
      <c r="B8" s="230" t="s">
        <v>195</v>
      </c>
      <c r="C8" s="384">
        <v>2220000</v>
      </c>
      <c r="D8" s="520">
        <v>2120000</v>
      </c>
      <c r="E8" s="520">
        <v>2092500</v>
      </c>
    </row>
    <row r="9" spans="1:6" ht="27" customHeight="1" x14ac:dyDescent="0.2">
      <c r="A9" s="234" t="s">
        <v>205</v>
      </c>
      <c r="B9" s="231" t="s">
        <v>196</v>
      </c>
      <c r="C9" s="385">
        <v>250000</v>
      </c>
      <c r="D9" s="520">
        <f>140000+140000-105000</f>
        <v>175000</v>
      </c>
      <c r="E9" s="520">
        <v>175000</v>
      </c>
    </row>
    <row r="10" spans="1:6" ht="27" customHeight="1" x14ac:dyDescent="0.2">
      <c r="A10" s="234" t="s">
        <v>206</v>
      </c>
      <c r="B10" s="231" t="s">
        <v>197</v>
      </c>
      <c r="C10" s="385">
        <v>2220000</v>
      </c>
      <c r="D10" s="520">
        <v>2040000</v>
      </c>
      <c r="E10" s="520">
        <v>1994089</v>
      </c>
    </row>
    <row r="11" spans="1:6" ht="27" customHeight="1" x14ac:dyDescent="0.2">
      <c r="A11" s="234" t="s">
        <v>206</v>
      </c>
      <c r="B11" s="231" t="s">
        <v>198</v>
      </c>
      <c r="C11" s="385">
        <v>50000</v>
      </c>
      <c r="D11" s="520">
        <v>50000</v>
      </c>
      <c r="E11" s="520">
        <v>0</v>
      </c>
    </row>
    <row r="12" spans="1:6" ht="27" customHeight="1" x14ac:dyDescent="0.2">
      <c r="A12" s="234" t="s">
        <v>206</v>
      </c>
      <c r="B12" s="231" t="s">
        <v>199</v>
      </c>
      <c r="C12" s="385">
        <v>550000</v>
      </c>
      <c r="D12" s="520">
        <v>0</v>
      </c>
      <c r="E12" s="520">
        <v>0</v>
      </c>
    </row>
    <row r="13" spans="1:6" ht="39" customHeight="1" thickBot="1" x14ac:dyDescent="0.25">
      <c r="A13" s="752" t="s">
        <v>190</v>
      </c>
      <c r="B13" s="753"/>
      <c r="C13" s="386">
        <f>SUM(C8:C12)</f>
        <v>5290000</v>
      </c>
      <c r="D13" s="386">
        <f>SUM(D8:D12)</f>
        <v>4385000</v>
      </c>
      <c r="E13" s="386">
        <f>SUM(E8:E12)</f>
        <v>4261589</v>
      </c>
    </row>
  </sheetData>
  <mergeCells count="4">
    <mergeCell ref="A13:B13"/>
    <mergeCell ref="A1:E1"/>
    <mergeCell ref="A4:E4"/>
    <mergeCell ref="A3:E3"/>
  </mergeCells>
  <phoneticPr fontId="22" type="noConversion"/>
  <pageMargins left="0.75" right="0.75" top="1" bottom="1" header="0.5" footer="0.5"/>
  <pageSetup paperSize="9" scale="8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28"/>
  <sheetViews>
    <sheetView view="pageBreakPreview" zoomScale="98" zoomScaleNormal="100" zoomScaleSheetLayoutView="98" workbookViewId="0">
      <selection sqref="A1:N1"/>
    </sheetView>
  </sheetViews>
  <sheetFormatPr defaultRowHeight="12.75" x14ac:dyDescent="0.2"/>
  <cols>
    <col min="1" max="1" width="31" customWidth="1"/>
    <col min="2" max="14" width="9.7109375" customWidth="1"/>
    <col min="15" max="15" width="12" customWidth="1"/>
  </cols>
  <sheetData>
    <row r="1" spans="1:15" ht="15.75" x14ac:dyDescent="0.2">
      <c r="A1" s="756" t="s">
        <v>679</v>
      </c>
      <c r="B1" s="756"/>
      <c r="C1" s="756"/>
      <c r="D1" s="756"/>
      <c r="E1" s="756"/>
      <c r="F1" s="756"/>
      <c r="G1" s="756"/>
      <c r="H1" s="756"/>
      <c r="I1" s="756"/>
      <c r="J1" s="756"/>
      <c r="K1" s="756"/>
      <c r="L1" s="756"/>
      <c r="M1" s="756"/>
      <c r="N1" s="756"/>
    </row>
    <row r="2" spans="1:15" ht="15.75" x14ac:dyDescent="0.25">
      <c r="A2" s="265"/>
      <c r="N2" s="413" t="s">
        <v>416</v>
      </c>
    </row>
    <row r="3" spans="1:15" ht="15.75" x14ac:dyDescent="0.2">
      <c r="A3" s="760" t="s">
        <v>10</v>
      </c>
      <c r="B3" s="760"/>
      <c r="C3" s="760"/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/>
    </row>
    <row r="4" spans="1:15" ht="15.75" x14ac:dyDescent="0.2">
      <c r="A4" s="760"/>
      <c r="B4" s="760"/>
      <c r="C4" s="760"/>
      <c r="D4" s="760"/>
      <c r="E4" s="760"/>
      <c r="F4" s="760"/>
      <c r="G4" s="760"/>
      <c r="H4" s="760"/>
      <c r="I4" s="760"/>
      <c r="J4" s="760"/>
      <c r="K4" s="760"/>
      <c r="L4" s="760"/>
      <c r="M4" s="760"/>
      <c r="N4" s="760"/>
    </row>
    <row r="5" spans="1:15" ht="15.75" x14ac:dyDescent="0.2">
      <c r="A5" s="760" t="s">
        <v>672</v>
      </c>
      <c r="B5" s="760"/>
      <c r="C5" s="760"/>
      <c r="D5" s="760"/>
      <c r="E5" s="760"/>
      <c r="F5" s="760"/>
      <c r="G5" s="760"/>
      <c r="H5" s="760"/>
      <c r="I5" s="760"/>
      <c r="J5" s="760"/>
      <c r="K5" s="760"/>
      <c r="L5" s="760"/>
      <c r="M5" s="760"/>
      <c r="N5" s="760"/>
    </row>
    <row r="6" spans="1:15" ht="16.5" thickBot="1" x14ac:dyDescent="0.25">
      <c r="A6" s="345"/>
    </row>
    <row r="7" spans="1:15" ht="18.75" customHeight="1" thickTop="1" thickBot="1" x14ac:dyDescent="0.25">
      <c r="A7" s="346" t="s">
        <v>16</v>
      </c>
      <c r="B7" s="347" t="s">
        <v>323</v>
      </c>
      <c r="C7" s="347" t="s">
        <v>324</v>
      </c>
      <c r="D7" s="347" t="s">
        <v>325</v>
      </c>
      <c r="E7" s="347" t="s">
        <v>326</v>
      </c>
      <c r="F7" s="347" t="s">
        <v>327</v>
      </c>
      <c r="G7" s="347" t="s">
        <v>328</v>
      </c>
      <c r="H7" s="347" t="s">
        <v>329</v>
      </c>
      <c r="I7" s="347" t="s">
        <v>330</v>
      </c>
      <c r="J7" s="347" t="s">
        <v>331</v>
      </c>
      <c r="K7" s="347" t="s">
        <v>332</v>
      </c>
      <c r="L7" s="347" t="s">
        <v>333</v>
      </c>
      <c r="M7" s="348" t="s">
        <v>334</v>
      </c>
      <c r="N7" s="348" t="s">
        <v>335</v>
      </c>
    </row>
    <row r="8" spans="1:15" ht="18.75" customHeight="1" thickTop="1" thickBot="1" x14ac:dyDescent="0.25">
      <c r="A8" s="757" t="s">
        <v>336</v>
      </c>
      <c r="B8" s="758"/>
      <c r="C8" s="758"/>
      <c r="D8" s="758"/>
      <c r="E8" s="758"/>
      <c r="F8" s="758"/>
      <c r="G8" s="758"/>
      <c r="H8" s="758"/>
      <c r="I8" s="758"/>
      <c r="J8" s="758"/>
      <c r="K8" s="758"/>
      <c r="L8" s="758"/>
      <c r="M8" s="758"/>
      <c r="N8" s="759"/>
    </row>
    <row r="9" spans="1:15" ht="18.75" customHeight="1" thickTop="1" thickBot="1" x14ac:dyDescent="0.25">
      <c r="A9" s="387" t="s">
        <v>337</v>
      </c>
      <c r="B9" s="389">
        <f>$O9/12</f>
        <v>1129868.6666666667</v>
      </c>
      <c r="C9" s="389">
        <f t="shared" ref="C9:M10" si="0">$O9/12</f>
        <v>1129868.6666666667</v>
      </c>
      <c r="D9" s="389">
        <f t="shared" si="0"/>
        <v>1129868.6666666667</v>
      </c>
      <c r="E9" s="389">
        <f t="shared" si="0"/>
        <v>1129868.6666666667</v>
      </c>
      <c r="F9" s="389">
        <f t="shared" si="0"/>
        <v>1129868.6666666667</v>
      </c>
      <c r="G9" s="389">
        <f t="shared" si="0"/>
        <v>1129868.6666666667</v>
      </c>
      <c r="H9" s="389">
        <f t="shared" si="0"/>
        <v>1129868.6666666667</v>
      </c>
      <c r="I9" s="389">
        <f t="shared" si="0"/>
        <v>1129868.6666666667</v>
      </c>
      <c r="J9" s="389">
        <f t="shared" si="0"/>
        <v>1129868.6666666667</v>
      </c>
      <c r="K9" s="389">
        <f t="shared" si="0"/>
        <v>1129868.6666666667</v>
      </c>
      <c r="L9" s="389">
        <f t="shared" si="0"/>
        <v>1129868.6666666667</v>
      </c>
      <c r="M9" s="389">
        <f t="shared" si="0"/>
        <v>1129868.6666666667</v>
      </c>
      <c r="N9" s="538">
        <f>SUM(B9:M9)</f>
        <v>13558423.999999998</v>
      </c>
      <c r="O9" s="372">
        <v>13558424</v>
      </c>
    </row>
    <row r="10" spans="1:15" ht="18.75" customHeight="1" thickTop="1" thickBot="1" x14ac:dyDescent="0.25">
      <c r="A10" s="387" t="s">
        <v>165</v>
      </c>
      <c r="B10" s="389">
        <f>$O10/12</f>
        <v>1596690.6666666667</v>
      </c>
      <c r="C10" s="389">
        <f t="shared" si="0"/>
        <v>1596690.6666666667</v>
      </c>
      <c r="D10" s="389">
        <f t="shared" si="0"/>
        <v>1596690.6666666667</v>
      </c>
      <c r="E10" s="389">
        <f t="shared" si="0"/>
        <v>1596690.6666666667</v>
      </c>
      <c r="F10" s="389">
        <f t="shared" si="0"/>
        <v>1596690.6666666667</v>
      </c>
      <c r="G10" s="389">
        <f t="shared" si="0"/>
        <v>1596690.6666666667</v>
      </c>
      <c r="H10" s="389">
        <f t="shared" si="0"/>
        <v>1596690.6666666667</v>
      </c>
      <c r="I10" s="389">
        <f t="shared" si="0"/>
        <v>1596690.6666666667</v>
      </c>
      <c r="J10" s="389">
        <f t="shared" si="0"/>
        <v>1596690.6666666667</v>
      </c>
      <c r="K10" s="389">
        <f t="shared" si="0"/>
        <v>1596690.6666666667</v>
      </c>
      <c r="L10" s="389">
        <f t="shared" si="0"/>
        <v>1596690.6666666667</v>
      </c>
      <c r="M10" s="389">
        <f>$O10/12</f>
        <v>1596690.6666666667</v>
      </c>
      <c r="N10" s="349">
        <f t="shared" ref="N10:N14" si="1">SUM(B10:M10)</f>
        <v>19160288</v>
      </c>
      <c r="O10" s="372">
        <v>19160288</v>
      </c>
    </row>
    <row r="11" spans="1:15" s="588" customFormat="1" ht="18.75" customHeight="1" thickTop="1" thickBot="1" x14ac:dyDescent="0.25">
      <c r="A11" s="387" t="s">
        <v>120</v>
      </c>
      <c r="B11" s="389">
        <f>$O11/12</f>
        <v>5897626.333333333</v>
      </c>
      <c r="C11" s="389">
        <f t="shared" ref="C11:M11" si="2">$O11/12</f>
        <v>5897626.333333333</v>
      </c>
      <c r="D11" s="389">
        <f t="shared" si="2"/>
        <v>5897626.333333333</v>
      </c>
      <c r="E11" s="389">
        <f t="shared" si="2"/>
        <v>5897626.333333333</v>
      </c>
      <c r="F11" s="389">
        <f t="shared" si="2"/>
        <v>5897626.333333333</v>
      </c>
      <c r="G11" s="389">
        <f t="shared" si="2"/>
        <v>5897626.333333333</v>
      </c>
      <c r="H11" s="389">
        <f t="shared" si="2"/>
        <v>5897626.333333333</v>
      </c>
      <c r="I11" s="389">
        <f t="shared" si="2"/>
        <v>5897626.333333333</v>
      </c>
      <c r="J11" s="389">
        <f t="shared" si="2"/>
        <v>5897626.333333333</v>
      </c>
      <c r="K11" s="389">
        <f t="shared" si="2"/>
        <v>5897626.333333333</v>
      </c>
      <c r="L11" s="389">
        <f t="shared" si="2"/>
        <v>5897626.333333333</v>
      </c>
      <c r="M11" s="389">
        <f t="shared" si="2"/>
        <v>5897626.333333333</v>
      </c>
      <c r="N11" s="349">
        <f t="shared" si="1"/>
        <v>70771516.000000015</v>
      </c>
      <c r="O11" s="587">
        <v>70771516</v>
      </c>
    </row>
    <row r="12" spans="1:15" ht="18.75" customHeight="1" thickTop="1" thickBot="1" x14ac:dyDescent="0.25">
      <c r="A12" s="387" t="s">
        <v>338</v>
      </c>
      <c r="B12" s="389">
        <f>O12/2</f>
        <v>818789.5</v>
      </c>
      <c r="C12" s="389">
        <f>O12/2</f>
        <v>818789.5</v>
      </c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49">
        <f t="shared" si="1"/>
        <v>1637579</v>
      </c>
      <c r="O12" s="372">
        <v>1637579</v>
      </c>
    </row>
    <row r="13" spans="1:15" ht="18.75" customHeight="1" thickTop="1" thickBot="1" x14ac:dyDescent="0.25">
      <c r="A13" s="387" t="s">
        <v>456</v>
      </c>
      <c r="B13" s="389">
        <v>3142336</v>
      </c>
      <c r="C13" s="389">
        <v>342748</v>
      </c>
      <c r="D13" s="389"/>
      <c r="E13" s="389"/>
      <c r="F13" s="389"/>
      <c r="G13" s="389"/>
      <c r="H13" s="389"/>
      <c r="I13" s="389">
        <v>2920330</v>
      </c>
      <c r="J13" s="389">
        <v>662907</v>
      </c>
      <c r="K13" s="389">
        <v>14996308</v>
      </c>
      <c r="L13" s="389">
        <v>-342748</v>
      </c>
      <c r="M13" s="389">
        <f>1000000+1531579</f>
        <v>2531579</v>
      </c>
      <c r="N13" s="538">
        <f>SUM(B13:M13)</f>
        <v>24253460</v>
      </c>
      <c r="O13" s="372">
        <v>24253460</v>
      </c>
    </row>
    <row r="14" spans="1:15" ht="18.75" customHeight="1" thickTop="1" thickBot="1" x14ac:dyDescent="0.25">
      <c r="A14" s="387" t="s">
        <v>339</v>
      </c>
      <c r="B14" s="389">
        <f>O14</f>
        <v>27778703</v>
      </c>
      <c r="C14" s="389"/>
      <c r="D14" s="389"/>
      <c r="E14" s="389"/>
      <c r="F14" s="389"/>
      <c r="G14" s="389"/>
      <c r="H14" s="389"/>
      <c r="I14" s="389"/>
      <c r="J14" s="389"/>
      <c r="K14" s="389"/>
      <c r="L14" s="389"/>
      <c r="M14" s="389"/>
      <c r="N14" s="349">
        <f t="shared" si="1"/>
        <v>27778703</v>
      </c>
      <c r="O14" s="372">
        <f>'2a'!J25</f>
        <v>27778703</v>
      </c>
    </row>
    <row r="15" spans="1:15" ht="18.75" customHeight="1" thickTop="1" thickBot="1" x14ac:dyDescent="0.25">
      <c r="A15" s="350" t="s">
        <v>340</v>
      </c>
      <c r="B15" s="391">
        <f>SUM(B9:B14)</f>
        <v>40364014.166666664</v>
      </c>
      <c r="C15" s="391">
        <f t="shared" ref="C15:M15" si="3">SUM(C9:C14)</f>
        <v>9785723.166666666</v>
      </c>
      <c r="D15" s="391">
        <f t="shared" si="3"/>
        <v>8624185.666666666</v>
      </c>
      <c r="E15" s="391">
        <f t="shared" si="3"/>
        <v>8624185.666666666</v>
      </c>
      <c r="F15" s="391">
        <f t="shared" si="3"/>
        <v>8624185.666666666</v>
      </c>
      <c r="G15" s="391">
        <f t="shared" si="3"/>
        <v>8624185.666666666</v>
      </c>
      <c r="H15" s="391">
        <f t="shared" si="3"/>
        <v>8624185.666666666</v>
      </c>
      <c r="I15" s="391">
        <f t="shared" si="3"/>
        <v>11544515.666666666</v>
      </c>
      <c r="J15" s="391">
        <f t="shared" si="3"/>
        <v>9287092.666666666</v>
      </c>
      <c r="K15" s="391">
        <f t="shared" si="3"/>
        <v>23620493.666666664</v>
      </c>
      <c r="L15" s="391">
        <f t="shared" si="3"/>
        <v>8281437.666666666</v>
      </c>
      <c r="M15" s="391">
        <f t="shared" si="3"/>
        <v>11155764.666666666</v>
      </c>
      <c r="N15" s="538">
        <f>SUM(B15:M15)</f>
        <v>157159970</v>
      </c>
      <c r="O15" s="372">
        <f>SUM(O9:O14)</f>
        <v>157159970</v>
      </c>
    </row>
    <row r="16" spans="1:15" ht="18.75" customHeight="1" thickTop="1" thickBot="1" x14ac:dyDescent="0.25">
      <c r="A16" s="757" t="s">
        <v>341</v>
      </c>
      <c r="B16" s="758"/>
      <c r="C16" s="758"/>
      <c r="D16" s="758"/>
      <c r="E16" s="758"/>
      <c r="F16" s="758"/>
      <c r="G16" s="758"/>
      <c r="H16" s="758"/>
      <c r="I16" s="758"/>
      <c r="J16" s="758"/>
      <c r="K16" s="758"/>
      <c r="L16" s="758"/>
      <c r="M16" s="758"/>
      <c r="N16" s="759"/>
    </row>
    <row r="17" spans="1:15" ht="18.75" customHeight="1" thickTop="1" thickBot="1" x14ac:dyDescent="0.25">
      <c r="A17" s="387" t="s">
        <v>23</v>
      </c>
      <c r="B17" s="389">
        <f>$O17/12</f>
        <v>3319420.75</v>
      </c>
      <c r="C17" s="389">
        <f t="shared" ref="C17:M18" si="4">$O17/12</f>
        <v>3319420.75</v>
      </c>
      <c r="D17" s="389">
        <f t="shared" si="4"/>
        <v>3319420.75</v>
      </c>
      <c r="E17" s="389">
        <f t="shared" si="4"/>
        <v>3319420.75</v>
      </c>
      <c r="F17" s="389">
        <f t="shared" si="4"/>
        <v>3319420.75</v>
      </c>
      <c r="G17" s="389">
        <f t="shared" si="4"/>
        <v>3319420.75</v>
      </c>
      <c r="H17" s="389">
        <f t="shared" si="4"/>
        <v>3319420.75</v>
      </c>
      <c r="I17" s="389">
        <f t="shared" si="4"/>
        <v>3319420.75</v>
      </c>
      <c r="J17" s="389">
        <f t="shared" si="4"/>
        <v>3319420.75</v>
      </c>
      <c r="K17" s="389">
        <f t="shared" si="4"/>
        <v>3319420.75</v>
      </c>
      <c r="L17" s="389">
        <f t="shared" si="4"/>
        <v>3319420.75</v>
      </c>
      <c r="M17" s="389">
        <f t="shared" si="4"/>
        <v>3319420.75</v>
      </c>
      <c r="N17" s="349">
        <f>SUM(B17:M17)</f>
        <v>39833049</v>
      </c>
      <c r="O17">
        <v>39833049</v>
      </c>
    </row>
    <row r="18" spans="1:15" ht="18.75" customHeight="1" thickTop="1" thickBot="1" x14ac:dyDescent="0.25">
      <c r="A18" s="387" t="s">
        <v>342</v>
      </c>
      <c r="B18" s="389">
        <f>$O18/12</f>
        <v>607284.5</v>
      </c>
      <c r="C18" s="389">
        <f t="shared" si="4"/>
        <v>607284.5</v>
      </c>
      <c r="D18" s="389">
        <f t="shared" si="4"/>
        <v>607284.5</v>
      </c>
      <c r="E18" s="389">
        <f t="shared" si="4"/>
        <v>607284.5</v>
      </c>
      <c r="F18" s="389">
        <f t="shared" si="4"/>
        <v>607284.5</v>
      </c>
      <c r="G18" s="389">
        <f t="shared" si="4"/>
        <v>607284.5</v>
      </c>
      <c r="H18" s="389">
        <f t="shared" si="4"/>
        <v>607284.5</v>
      </c>
      <c r="I18" s="389">
        <f t="shared" si="4"/>
        <v>607284.5</v>
      </c>
      <c r="J18" s="389">
        <f t="shared" si="4"/>
        <v>607284.5</v>
      </c>
      <c r="K18" s="389">
        <f t="shared" si="4"/>
        <v>607284.5</v>
      </c>
      <c r="L18" s="389">
        <f t="shared" si="4"/>
        <v>607284.5</v>
      </c>
      <c r="M18" s="389">
        <f t="shared" si="4"/>
        <v>607284.5</v>
      </c>
      <c r="N18" s="349">
        <f t="shared" ref="N18:N24" si="5">SUM(B18:M18)</f>
        <v>7287414</v>
      </c>
      <c r="O18">
        <v>7287414</v>
      </c>
    </row>
    <row r="19" spans="1:15" ht="18.75" customHeight="1" thickTop="1" thickBot="1" x14ac:dyDescent="0.25">
      <c r="A19" s="387" t="s">
        <v>27</v>
      </c>
      <c r="B19" s="389">
        <f t="shared" ref="B19:M20" si="6">$O19/12</f>
        <v>3664642.4166666665</v>
      </c>
      <c r="C19" s="389">
        <f t="shared" si="6"/>
        <v>3664642.4166666665</v>
      </c>
      <c r="D19" s="389">
        <f t="shared" si="6"/>
        <v>3664642.4166666665</v>
      </c>
      <c r="E19" s="389">
        <f t="shared" si="6"/>
        <v>3664642.4166666665</v>
      </c>
      <c r="F19" s="389">
        <f t="shared" si="6"/>
        <v>3664642.4166666665</v>
      </c>
      <c r="G19" s="389">
        <f t="shared" si="6"/>
        <v>3664642.4166666665</v>
      </c>
      <c r="H19" s="389">
        <f t="shared" si="6"/>
        <v>3664642.4166666665</v>
      </c>
      <c r="I19" s="389">
        <f t="shared" si="6"/>
        <v>3664642.4166666665</v>
      </c>
      <c r="J19" s="389">
        <f t="shared" si="6"/>
        <v>3664642.4166666665</v>
      </c>
      <c r="K19" s="389">
        <f t="shared" si="6"/>
        <v>3664642.4166666665</v>
      </c>
      <c r="L19" s="389">
        <f t="shared" si="6"/>
        <v>3664642.4166666665</v>
      </c>
      <c r="M19" s="389">
        <f t="shared" si="6"/>
        <v>3664642.4166666665</v>
      </c>
      <c r="N19" s="349">
        <f t="shared" si="5"/>
        <v>43975709</v>
      </c>
      <c r="O19">
        <v>43975709</v>
      </c>
    </row>
    <row r="20" spans="1:15" ht="18.75" customHeight="1" thickTop="1" thickBot="1" x14ac:dyDescent="0.25">
      <c r="A20" s="387" t="s">
        <v>343</v>
      </c>
      <c r="B20" s="389">
        <f t="shared" si="6"/>
        <v>340549.08333333331</v>
      </c>
      <c r="C20" s="389">
        <f t="shared" si="6"/>
        <v>340549.08333333331</v>
      </c>
      <c r="D20" s="389">
        <f t="shared" si="6"/>
        <v>340549.08333333331</v>
      </c>
      <c r="E20" s="389">
        <f t="shared" si="6"/>
        <v>340549.08333333331</v>
      </c>
      <c r="F20" s="389">
        <f t="shared" si="6"/>
        <v>340549.08333333331</v>
      </c>
      <c r="G20" s="389">
        <f t="shared" si="6"/>
        <v>340549.08333333331</v>
      </c>
      <c r="H20" s="389">
        <f t="shared" si="6"/>
        <v>340549.08333333331</v>
      </c>
      <c r="I20" s="389">
        <f t="shared" si="6"/>
        <v>340549.08333333331</v>
      </c>
      <c r="J20" s="389">
        <f t="shared" si="6"/>
        <v>340549.08333333331</v>
      </c>
      <c r="K20" s="389">
        <f t="shared" si="6"/>
        <v>340549.08333333331</v>
      </c>
      <c r="L20" s="389">
        <f t="shared" si="6"/>
        <v>340549.08333333331</v>
      </c>
      <c r="M20" s="389">
        <f t="shared" si="6"/>
        <v>340549.08333333331</v>
      </c>
      <c r="N20" s="349">
        <f t="shared" si="5"/>
        <v>4086589.0000000005</v>
      </c>
      <c r="O20">
        <v>4086589</v>
      </c>
    </row>
    <row r="21" spans="1:15" ht="24.75" customHeight="1" thickTop="1" thickBot="1" x14ac:dyDescent="0.25">
      <c r="A21" s="387" t="s">
        <v>457</v>
      </c>
      <c r="B21" s="389">
        <v>2294400</v>
      </c>
      <c r="C21" s="389"/>
      <c r="D21" s="389"/>
      <c r="E21" s="389"/>
      <c r="F21" s="389">
        <v>521249</v>
      </c>
      <c r="G21" s="389"/>
      <c r="H21" s="389"/>
      <c r="I21" s="389"/>
      <c r="J21" s="389"/>
      <c r="K21" s="389"/>
      <c r="L21" s="389"/>
      <c r="M21" s="389"/>
      <c r="N21" s="349">
        <v>2815649</v>
      </c>
    </row>
    <row r="22" spans="1:15" ht="18.75" customHeight="1" thickTop="1" thickBot="1" x14ac:dyDescent="0.25">
      <c r="A22" s="387" t="s">
        <v>344</v>
      </c>
      <c r="B22" s="389">
        <v>271157</v>
      </c>
      <c r="C22" s="389"/>
      <c r="D22" s="389">
        <v>-105000</v>
      </c>
      <c r="E22" s="389"/>
      <c r="F22" s="389"/>
      <c r="G22" s="389">
        <v>708566</v>
      </c>
      <c r="H22" s="389">
        <v>1498600</v>
      </c>
      <c r="I22" s="389">
        <v>140000</v>
      </c>
      <c r="J22" s="389">
        <v>323285</v>
      </c>
      <c r="K22" s="389">
        <v>186960</v>
      </c>
      <c r="L22" s="389"/>
      <c r="M22" s="389">
        <v>245385</v>
      </c>
      <c r="N22" s="538">
        <f>SUM(B22:M22)</f>
        <v>3268953</v>
      </c>
      <c r="O22">
        <v>3268953</v>
      </c>
    </row>
    <row r="23" spans="1:15" ht="18.75" customHeight="1" thickTop="1" thickBot="1" x14ac:dyDescent="0.25">
      <c r="A23" s="387" t="s">
        <v>345</v>
      </c>
      <c r="B23" s="389"/>
      <c r="C23" s="389"/>
      <c r="D23" s="389"/>
      <c r="E23" s="389"/>
      <c r="F23" s="389">
        <v>65000</v>
      </c>
      <c r="G23" s="389"/>
      <c r="H23" s="389">
        <v>30000</v>
      </c>
      <c r="I23" s="389"/>
      <c r="J23" s="389"/>
      <c r="K23" s="389">
        <v>4493900</v>
      </c>
      <c r="L23" s="389"/>
      <c r="M23" s="389"/>
      <c r="N23" s="538">
        <f>SUM(B23:M23)</f>
        <v>4588900</v>
      </c>
      <c r="O23">
        <v>4588900</v>
      </c>
    </row>
    <row r="24" spans="1:15" ht="18.75" customHeight="1" thickTop="1" thickBot="1" x14ac:dyDescent="0.25">
      <c r="A24" s="388" t="s">
        <v>194</v>
      </c>
      <c r="B24" s="389">
        <v>3491484</v>
      </c>
      <c r="C24" s="389">
        <v>892403</v>
      </c>
      <c r="D24" s="389">
        <f>591300+144463+750000</f>
        <v>1485763</v>
      </c>
      <c r="E24" s="389">
        <v>205238</v>
      </c>
      <c r="F24" s="389">
        <v>50000</v>
      </c>
      <c r="G24" s="389">
        <f>1510999+32578</f>
        <v>1543577</v>
      </c>
      <c r="H24" s="389">
        <v>280728</v>
      </c>
      <c r="I24" s="389"/>
      <c r="J24" s="389"/>
      <c r="K24" s="389">
        <v>13862050</v>
      </c>
      <c r="L24" s="389">
        <v>16500</v>
      </c>
      <c r="M24" s="389">
        <v>18103215</v>
      </c>
      <c r="N24" s="349">
        <f t="shared" si="5"/>
        <v>39930958</v>
      </c>
      <c r="O24">
        <v>39180958</v>
      </c>
    </row>
    <row r="25" spans="1:15" ht="18.75" customHeight="1" thickTop="1" thickBot="1" x14ac:dyDescent="0.25">
      <c r="A25" s="388" t="s">
        <v>466</v>
      </c>
      <c r="B25" s="389">
        <v>2588931</v>
      </c>
      <c r="C25" s="389"/>
      <c r="D25" s="389"/>
      <c r="E25" s="389"/>
      <c r="F25" s="389"/>
      <c r="G25" s="389"/>
      <c r="H25" s="389"/>
      <c r="I25" s="389"/>
      <c r="J25" s="389"/>
      <c r="K25" s="389"/>
      <c r="L25" s="389"/>
      <c r="M25" s="389"/>
      <c r="N25" s="349">
        <v>2588931</v>
      </c>
      <c r="O25">
        <v>2588931</v>
      </c>
    </row>
    <row r="26" spans="1:15" ht="18.75" customHeight="1" thickTop="1" thickBot="1" x14ac:dyDescent="0.25">
      <c r="A26" s="387" t="s">
        <v>171</v>
      </c>
      <c r="B26" s="389"/>
      <c r="C26" s="389"/>
      <c r="D26" s="389"/>
      <c r="E26" s="389"/>
      <c r="F26" s="389"/>
      <c r="G26" s="389"/>
      <c r="H26" s="389"/>
      <c r="I26" s="389"/>
      <c r="J26" s="389"/>
      <c r="K26" s="389"/>
      <c r="L26" s="389"/>
      <c r="M26" s="389">
        <v>0</v>
      </c>
      <c r="N26" s="349">
        <v>0</v>
      </c>
      <c r="O26">
        <v>0</v>
      </c>
    </row>
    <row r="27" spans="1:15" ht="18.75" customHeight="1" thickTop="1" thickBot="1" x14ac:dyDescent="0.25">
      <c r="A27" s="350" t="s">
        <v>346</v>
      </c>
      <c r="B27" s="391">
        <f>SUM(B17:B26)</f>
        <v>16577868.75</v>
      </c>
      <c r="C27" s="391">
        <f t="shared" ref="C27:M27" si="7">SUM(C17:C26)</f>
        <v>8824299.75</v>
      </c>
      <c r="D27" s="391">
        <f t="shared" si="7"/>
        <v>9312659.75</v>
      </c>
      <c r="E27" s="391">
        <f t="shared" si="7"/>
        <v>8137134.7499999991</v>
      </c>
      <c r="F27" s="391">
        <f t="shared" si="7"/>
        <v>8568145.75</v>
      </c>
      <c r="G27" s="391">
        <f t="shared" si="7"/>
        <v>10184039.75</v>
      </c>
      <c r="H27" s="391">
        <f t="shared" si="7"/>
        <v>9741224.75</v>
      </c>
      <c r="I27" s="391">
        <f t="shared" si="7"/>
        <v>8071896.7499999991</v>
      </c>
      <c r="J27" s="391">
        <f t="shared" si="7"/>
        <v>8255181.7499999991</v>
      </c>
      <c r="K27" s="391">
        <f t="shared" si="7"/>
        <v>26474806.75</v>
      </c>
      <c r="L27" s="391">
        <f t="shared" si="7"/>
        <v>7948396.7499999991</v>
      </c>
      <c r="M27" s="391">
        <f t="shared" si="7"/>
        <v>26280496.75</v>
      </c>
      <c r="N27" s="538">
        <f>SUM(B27:M27)</f>
        <v>148376152</v>
      </c>
      <c r="O27" s="390">
        <f>SUM(O17:O26)</f>
        <v>144810503</v>
      </c>
    </row>
    <row r="28" spans="1:15" ht="16.5" thickTop="1" x14ac:dyDescent="0.2">
      <c r="A28" s="265"/>
    </row>
  </sheetData>
  <mergeCells count="6">
    <mergeCell ref="A1:N1"/>
    <mergeCell ref="A8:N8"/>
    <mergeCell ref="A16:N16"/>
    <mergeCell ref="A5:N5"/>
    <mergeCell ref="A4:N4"/>
    <mergeCell ref="A3:N3"/>
  </mergeCells>
  <pageMargins left="0.7" right="0.7" top="0.75" bottom="0.75" header="0.3" footer="0.3"/>
  <pageSetup paperSize="9" scale="85" orientation="landscape" r:id="rId1"/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29"/>
  <sheetViews>
    <sheetView view="pageBreakPreview" zoomScale="130" zoomScaleNormal="100" zoomScaleSheetLayoutView="130" workbookViewId="0">
      <selection sqref="A1:E1"/>
    </sheetView>
  </sheetViews>
  <sheetFormatPr defaultRowHeight="12.75" x14ac:dyDescent="0.2"/>
  <cols>
    <col min="2" max="2" width="30.42578125" customWidth="1"/>
    <col min="3" max="3" width="13.7109375" customWidth="1"/>
    <col min="4" max="5" width="12.28515625" customWidth="1"/>
  </cols>
  <sheetData>
    <row r="1" spans="1:5" ht="24.75" customHeight="1" x14ac:dyDescent="0.2">
      <c r="A1" s="691" t="s">
        <v>680</v>
      </c>
      <c r="B1" s="691"/>
      <c r="C1" s="691"/>
      <c r="D1" s="691"/>
      <c r="E1" s="691"/>
    </row>
    <row r="2" spans="1:5" x14ac:dyDescent="0.2">
      <c r="A2" s="268"/>
      <c r="D2" s="414" t="s">
        <v>417</v>
      </c>
    </row>
    <row r="3" spans="1:5" x14ac:dyDescent="0.2">
      <c r="A3" s="268"/>
    </row>
    <row r="4" spans="1:5" x14ac:dyDescent="0.2">
      <c r="A4" s="763" t="s">
        <v>418</v>
      </c>
      <c r="B4" s="763"/>
      <c r="C4" s="763"/>
      <c r="D4" s="763"/>
      <c r="E4" s="763"/>
    </row>
    <row r="5" spans="1:5" x14ac:dyDescent="0.2">
      <c r="A5" s="270"/>
    </row>
    <row r="6" spans="1:5" x14ac:dyDescent="0.2">
      <c r="A6" s="662" t="s">
        <v>34</v>
      </c>
      <c r="B6" s="662"/>
      <c r="C6" s="662"/>
      <c r="D6" s="662"/>
      <c r="E6" s="662"/>
    </row>
    <row r="7" spans="1:5" x14ac:dyDescent="0.2">
      <c r="A7" s="662"/>
      <c r="B7" s="662"/>
      <c r="C7" s="662"/>
    </row>
    <row r="8" spans="1:5" ht="16.5" thickBot="1" x14ac:dyDescent="0.25">
      <c r="A8" s="265"/>
    </row>
    <row r="9" spans="1:5" ht="24.75" customHeight="1" thickBot="1" x14ac:dyDescent="0.25">
      <c r="A9" s="768" t="s">
        <v>16</v>
      </c>
      <c r="B9" s="768"/>
      <c r="C9" s="522" t="s">
        <v>64</v>
      </c>
      <c r="D9" s="522" t="s">
        <v>431</v>
      </c>
      <c r="E9" s="541" t="s">
        <v>255</v>
      </c>
    </row>
    <row r="10" spans="1:5" ht="21.75" customHeight="1" x14ac:dyDescent="0.2">
      <c r="A10" s="775" t="s">
        <v>15</v>
      </c>
      <c r="B10" s="776"/>
      <c r="C10" s="776"/>
      <c r="D10" s="776"/>
      <c r="E10" s="776"/>
    </row>
    <row r="11" spans="1:5" ht="24.75" customHeight="1" x14ac:dyDescent="0.2">
      <c r="A11" s="769">
        <v>1</v>
      </c>
      <c r="B11" s="397" t="s">
        <v>403</v>
      </c>
      <c r="C11" s="275">
        <v>3000000</v>
      </c>
      <c r="D11" s="275">
        <v>0</v>
      </c>
      <c r="E11" s="275">
        <v>0</v>
      </c>
    </row>
    <row r="12" spans="1:5" ht="24.75" customHeight="1" x14ac:dyDescent="0.2">
      <c r="A12" s="770"/>
      <c r="B12" s="397" t="s">
        <v>404</v>
      </c>
      <c r="C12" s="275">
        <v>2520000</v>
      </c>
      <c r="D12" s="275">
        <v>0</v>
      </c>
      <c r="E12" s="275">
        <v>0</v>
      </c>
    </row>
    <row r="13" spans="1:5" ht="24.75" customHeight="1" x14ac:dyDescent="0.2">
      <c r="A13" s="770"/>
      <c r="B13" s="392" t="s">
        <v>405</v>
      </c>
      <c r="C13" s="275">
        <v>2000000</v>
      </c>
      <c r="D13" s="275">
        <v>200000</v>
      </c>
      <c r="E13" s="275">
        <v>161605</v>
      </c>
    </row>
    <row r="14" spans="1:5" ht="24.75" customHeight="1" x14ac:dyDescent="0.2">
      <c r="A14" s="770"/>
      <c r="B14" s="392" t="s">
        <v>406</v>
      </c>
      <c r="C14" s="275">
        <v>1000000</v>
      </c>
      <c r="D14" s="275">
        <v>515000</v>
      </c>
      <c r="E14" s="275">
        <v>515000</v>
      </c>
    </row>
    <row r="15" spans="1:5" ht="24.75" customHeight="1" x14ac:dyDescent="0.2">
      <c r="A15" s="770"/>
      <c r="B15" s="392" t="s">
        <v>447</v>
      </c>
      <c r="C15" s="275">
        <v>4638964</v>
      </c>
      <c r="D15" s="275">
        <v>29702160</v>
      </c>
      <c r="E15" s="275">
        <v>29421760</v>
      </c>
    </row>
    <row r="16" spans="1:5" ht="24.75" customHeight="1" x14ac:dyDescent="0.2">
      <c r="A16" s="770"/>
      <c r="B16" s="392" t="s">
        <v>407</v>
      </c>
      <c r="C16" s="275">
        <v>750000</v>
      </c>
      <c r="D16" s="275">
        <v>750000</v>
      </c>
      <c r="E16" s="275">
        <v>750000</v>
      </c>
    </row>
    <row r="17" spans="1:5" ht="24.75" customHeight="1" x14ac:dyDescent="0.2">
      <c r="A17" s="770"/>
      <c r="B17" s="392" t="s">
        <v>449</v>
      </c>
      <c r="C17" s="275">
        <v>0</v>
      </c>
      <c r="D17" s="275">
        <f>141265+29918+96840</f>
        <v>268023</v>
      </c>
      <c r="E17" s="275">
        <v>268023</v>
      </c>
    </row>
    <row r="18" spans="1:5" ht="24.75" customHeight="1" x14ac:dyDescent="0.2">
      <c r="A18" s="770"/>
      <c r="B18" s="392" t="s">
        <v>446</v>
      </c>
      <c r="C18" s="275">
        <v>0</v>
      </c>
      <c r="D18" s="275">
        <v>280400</v>
      </c>
      <c r="E18" s="275">
        <v>280400</v>
      </c>
    </row>
    <row r="19" spans="1:5" ht="24.75" customHeight="1" x14ac:dyDescent="0.2">
      <c r="A19" s="770"/>
      <c r="B19" s="392" t="s">
        <v>448</v>
      </c>
      <c r="C19" s="275"/>
      <c r="D19" s="275">
        <v>300000</v>
      </c>
      <c r="E19" s="275">
        <v>300000</v>
      </c>
    </row>
    <row r="20" spans="1:5" ht="24.75" customHeight="1" x14ac:dyDescent="0.2">
      <c r="A20" s="771"/>
      <c r="B20" s="392" t="s">
        <v>222</v>
      </c>
      <c r="C20" s="275">
        <f>1210000+270000+1252520</f>
        <v>2732520</v>
      </c>
      <c r="D20" s="275">
        <f>43633+139050+24642+75708+26147+7453852+81000+8077+14602</f>
        <v>7866711</v>
      </c>
      <c r="E20" s="275">
        <f>139050+43633+81000+75708+58866+7378144</f>
        <v>7776401</v>
      </c>
    </row>
    <row r="21" spans="1:5" ht="28.5" customHeight="1" x14ac:dyDescent="0.2">
      <c r="A21" s="766" t="s">
        <v>223</v>
      </c>
      <c r="B21" s="767"/>
      <c r="C21" s="393">
        <f>SUM(C11:C20)</f>
        <v>16641484</v>
      </c>
      <c r="D21" s="393">
        <f>SUM(D11:D20)</f>
        <v>39882294</v>
      </c>
      <c r="E21" s="393">
        <f>SUM(E11:E20)</f>
        <v>39473189</v>
      </c>
    </row>
    <row r="22" spans="1:5" ht="24.75" customHeight="1" x14ac:dyDescent="0.2">
      <c r="A22" s="777" t="s">
        <v>115</v>
      </c>
      <c r="B22" s="778"/>
      <c r="C22" s="778"/>
      <c r="D22" s="778"/>
      <c r="E22" s="779"/>
    </row>
    <row r="23" spans="1:5" ht="26.25" customHeight="1" x14ac:dyDescent="0.2">
      <c r="A23" s="772">
        <v>2</v>
      </c>
      <c r="B23" s="274" t="s">
        <v>401</v>
      </c>
      <c r="C23" s="275">
        <v>400000</v>
      </c>
      <c r="D23" s="275">
        <v>0</v>
      </c>
      <c r="E23" s="275">
        <v>0</v>
      </c>
    </row>
    <row r="24" spans="1:5" ht="26.25" customHeight="1" x14ac:dyDescent="0.2">
      <c r="A24" s="773"/>
      <c r="B24" s="274" t="s">
        <v>462</v>
      </c>
      <c r="C24" s="275">
        <v>250000</v>
      </c>
      <c r="D24" s="275">
        <v>100000</v>
      </c>
      <c r="E24" s="275">
        <v>99787</v>
      </c>
    </row>
    <row r="25" spans="1:5" ht="26.25" customHeight="1" x14ac:dyDescent="0.2">
      <c r="A25" s="773"/>
      <c r="B25" s="274" t="s">
        <v>402</v>
      </c>
      <c r="C25" s="275">
        <v>120000</v>
      </c>
      <c r="D25" s="275">
        <v>120000</v>
      </c>
      <c r="E25" s="275">
        <v>107478</v>
      </c>
    </row>
    <row r="26" spans="1:5" ht="26.25" customHeight="1" x14ac:dyDescent="0.2">
      <c r="A26" s="773"/>
      <c r="B26" s="274" t="s">
        <v>450</v>
      </c>
      <c r="C26" s="275">
        <v>0</v>
      </c>
      <c r="D26" s="275">
        <v>160000</v>
      </c>
      <c r="E26" s="275">
        <v>153182</v>
      </c>
    </row>
    <row r="27" spans="1:5" ht="26.25" customHeight="1" x14ac:dyDescent="0.2">
      <c r="A27" s="774"/>
      <c r="B27" s="274" t="s">
        <v>222</v>
      </c>
      <c r="C27" s="275">
        <v>208000</v>
      </c>
      <c r="D27" s="275">
        <v>105000</v>
      </c>
      <c r="E27" s="275">
        <f>29020+26943+41359</f>
        <v>97322</v>
      </c>
    </row>
    <row r="28" spans="1:5" ht="25.5" customHeight="1" thickBot="1" x14ac:dyDescent="0.25">
      <c r="A28" s="761" t="s">
        <v>223</v>
      </c>
      <c r="B28" s="762"/>
      <c r="C28" s="273">
        <f>SUM(C23:C27)</f>
        <v>978000</v>
      </c>
      <c r="D28" s="273">
        <f>SUM(D23:D27)</f>
        <v>485000</v>
      </c>
      <c r="E28" s="273">
        <f>SUM(E23:E27)</f>
        <v>457769</v>
      </c>
    </row>
    <row r="29" spans="1:5" ht="25.5" customHeight="1" thickBot="1" x14ac:dyDescent="0.25">
      <c r="A29" s="764" t="s">
        <v>223</v>
      </c>
      <c r="B29" s="765"/>
      <c r="C29" s="276">
        <f>C28+C21</f>
        <v>17619484</v>
      </c>
      <c r="D29" s="276">
        <f>D28+D21</f>
        <v>40367294</v>
      </c>
      <c r="E29" s="276">
        <f>E28+E21</f>
        <v>39930958</v>
      </c>
    </row>
  </sheetData>
  <mergeCells count="12">
    <mergeCell ref="A28:B28"/>
    <mergeCell ref="A1:E1"/>
    <mergeCell ref="A4:E4"/>
    <mergeCell ref="A6:E6"/>
    <mergeCell ref="A29:B29"/>
    <mergeCell ref="A7:C7"/>
    <mergeCell ref="A21:B21"/>
    <mergeCell ref="A9:B9"/>
    <mergeCell ref="A11:A20"/>
    <mergeCell ref="A23:A27"/>
    <mergeCell ref="A10:E10"/>
    <mergeCell ref="A22:E22"/>
  </mergeCells>
  <pageMargins left="0.7" right="0.7" top="0.75" bottom="0.75" header="0.3" footer="0.3"/>
  <pageSetup paperSize="9"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65"/>
  <sheetViews>
    <sheetView view="pageBreakPreview" zoomScale="130" zoomScaleNormal="115" zoomScaleSheetLayoutView="130" workbookViewId="0">
      <selection sqref="A1:J1"/>
    </sheetView>
  </sheetViews>
  <sheetFormatPr defaultRowHeight="12.75" x14ac:dyDescent="0.2"/>
  <cols>
    <col min="1" max="1" width="9.28515625" bestFit="1" customWidth="1"/>
    <col min="2" max="2" width="32.28515625" customWidth="1"/>
    <col min="3" max="4" width="9.7109375" bestFit="1" customWidth="1"/>
    <col min="5" max="5" width="11.140625" bestFit="1" customWidth="1"/>
    <col min="6" max="6" width="9.7109375" bestFit="1" customWidth="1"/>
    <col min="7" max="10" width="11.140625" bestFit="1" customWidth="1"/>
  </cols>
  <sheetData>
    <row r="1" spans="1:10" x14ac:dyDescent="0.2">
      <c r="A1" s="787" t="s">
        <v>675</v>
      </c>
      <c r="B1" s="787"/>
      <c r="C1" s="787"/>
      <c r="D1" s="787"/>
      <c r="E1" s="787"/>
      <c r="F1" s="787"/>
      <c r="G1" s="787"/>
      <c r="H1" s="787"/>
      <c r="I1" s="787"/>
      <c r="J1" s="787"/>
    </row>
    <row r="2" spans="1:10" ht="15.75" x14ac:dyDescent="0.2">
      <c r="A2" s="265"/>
      <c r="J2" s="414" t="s">
        <v>419</v>
      </c>
    </row>
    <row r="3" spans="1:10" ht="15.75" x14ac:dyDescent="0.2">
      <c r="A3" s="760" t="s">
        <v>185</v>
      </c>
      <c r="B3" s="760"/>
      <c r="C3" s="760"/>
      <c r="D3" s="760"/>
      <c r="E3" s="760"/>
      <c r="F3" s="760"/>
      <c r="G3" s="760"/>
      <c r="H3" s="760"/>
      <c r="I3" s="760"/>
      <c r="J3" s="760"/>
    </row>
    <row r="4" spans="1:10" ht="15.75" x14ac:dyDescent="0.2">
      <c r="A4" s="760" t="s">
        <v>285</v>
      </c>
      <c r="B4" s="760"/>
      <c r="C4" s="760"/>
      <c r="D4" s="760"/>
      <c r="E4" s="760"/>
      <c r="F4" s="760"/>
      <c r="G4" s="760"/>
      <c r="H4" s="760"/>
      <c r="I4" s="760"/>
      <c r="J4" s="760"/>
    </row>
    <row r="5" spans="1:10" ht="15.75" x14ac:dyDescent="0.2">
      <c r="A5" s="267"/>
    </row>
    <row r="6" spans="1:10" ht="15.75" x14ac:dyDescent="0.2">
      <c r="A6" s="760" t="s">
        <v>65</v>
      </c>
      <c r="B6" s="760"/>
      <c r="C6" s="760"/>
      <c r="D6" s="760"/>
      <c r="E6" s="760"/>
      <c r="F6" s="760"/>
      <c r="G6" s="760"/>
      <c r="H6" s="760"/>
      <c r="I6" s="760"/>
      <c r="J6" s="760"/>
    </row>
    <row r="8" spans="1:10" ht="13.5" thickBot="1" x14ac:dyDescent="0.25">
      <c r="A8" s="308"/>
    </row>
    <row r="9" spans="1:10" ht="13.5" thickBot="1" x14ac:dyDescent="0.25">
      <c r="A9" s="788" t="s">
        <v>65</v>
      </c>
      <c r="B9" s="789"/>
      <c r="C9" s="789"/>
      <c r="D9" s="789"/>
      <c r="E9" s="789"/>
      <c r="F9" s="789"/>
      <c r="G9" s="789"/>
      <c r="H9" s="789"/>
      <c r="I9" s="789"/>
      <c r="J9" s="790"/>
    </row>
    <row r="10" spans="1:10" x14ac:dyDescent="0.2">
      <c r="A10" s="323" t="s">
        <v>232</v>
      </c>
      <c r="B10" s="324" t="s">
        <v>16</v>
      </c>
      <c r="C10" s="782">
        <v>2017</v>
      </c>
      <c r="D10" s="782"/>
      <c r="E10" s="782">
        <v>2018</v>
      </c>
      <c r="F10" s="782"/>
      <c r="G10" s="782">
        <v>2019</v>
      </c>
      <c r="H10" s="782"/>
      <c r="I10" s="782">
        <v>2020</v>
      </c>
      <c r="J10" s="783"/>
    </row>
    <row r="11" spans="1:10" x14ac:dyDescent="0.2">
      <c r="A11" s="316">
        <v>1</v>
      </c>
      <c r="B11" s="310">
        <v>2</v>
      </c>
      <c r="C11" s="309" t="s">
        <v>127</v>
      </c>
      <c r="D11" s="309" t="s">
        <v>286</v>
      </c>
      <c r="E11" s="309" t="s">
        <v>127</v>
      </c>
      <c r="F11" s="309" t="s">
        <v>286</v>
      </c>
      <c r="G11" s="309" t="s">
        <v>127</v>
      </c>
      <c r="H11" s="309" t="s">
        <v>286</v>
      </c>
      <c r="I11" s="309" t="s">
        <v>127</v>
      </c>
      <c r="J11" s="317" t="s">
        <v>286</v>
      </c>
    </row>
    <row r="12" spans="1:10" x14ac:dyDescent="0.2">
      <c r="A12" s="318" t="s">
        <v>22</v>
      </c>
      <c r="B12" s="311" t="s">
        <v>287</v>
      </c>
      <c r="C12" s="373">
        <f>'7'!O9</f>
        <v>13558424</v>
      </c>
      <c r="D12" s="373">
        <f>'5'!B9</f>
        <v>10265481</v>
      </c>
      <c r="E12" s="312">
        <f>C12*1.05</f>
        <v>14236345.200000001</v>
      </c>
      <c r="F12" s="312">
        <v>15000</v>
      </c>
      <c r="G12" s="312">
        <v>13558424</v>
      </c>
      <c r="H12" s="312">
        <v>13558424</v>
      </c>
      <c r="I12" s="312">
        <v>15000</v>
      </c>
      <c r="J12" s="319">
        <v>15000</v>
      </c>
    </row>
    <row r="13" spans="1:10" x14ac:dyDescent="0.2">
      <c r="A13" s="318" t="s">
        <v>24</v>
      </c>
      <c r="B13" s="311" t="s">
        <v>165</v>
      </c>
      <c r="C13" s="373">
        <f>'7'!O10</f>
        <v>19160288</v>
      </c>
      <c r="D13" s="373">
        <f>'5'!B10</f>
        <v>16500000</v>
      </c>
      <c r="E13" s="312">
        <f>C13*1.05</f>
        <v>20118302.400000002</v>
      </c>
      <c r="F13" s="312">
        <f t="shared" ref="F13:J14" si="0">D13*1.05</f>
        <v>17325000</v>
      </c>
      <c r="G13" s="312">
        <v>19160288</v>
      </c>
      <c r="H13" s="312">
        <v>19160288</v>
      </c>
      <c r="I13" s="312">
        <f t="shared" si="0"/>
        <v>20118302.400000002</v>
      </c>
      <c r="J13" s="319">
        <f t="shared" si="0"/>
        <v>20118302.400000002</v>
      </c>
    </row>
    <row r="14" spans="1:10" x14ac:dyDescent="0.2">
      <c r="A14" s="318" t="s">
        <v>26</v>
      </c>
      <c r="B14" s="311" t="s">
        <v>288</v>
      </c>
      <c r="C14" s="373">
        <f>'7'!O11</f>
        <v>70771516</v>
      </c>
      <c r="D14" s="373">
        <f>'5'!B11</f>
        <v>64086279</v>
      </c>
      <c r="E14" s="312">
        <f>C14*1.05</f>
        <v>74310091.799999997</v>
      </c>
      <c r="F14" s="312">
        <f t="shared" si="0"/>
        <v>67290592.950000003</v>
      </c>
      <c r="G14" s="312">
        <v>70771516</v>
      </c>
      <c r="H14" s="312">
        <v>70771516</v>
      </c>
      <c r="I14" s="312">
        <f t="shared" si="0"/>
        <v>74310091.799999997</v>
      </c>
      <c r="J14" s="319">
        <f t="shared" si="0"/>
        <v>74310091.799999997</v>
      </c>
    </row>
    <row r="15" spans="1:10" x14ac:dyDescent="0.2">
      <c r="A15" s="318" t="s">
        <v>28</v>
      </c>
      <c r="B15" s="311" t="s">
        <v>289</v>
      </c>
      <c r="C15" s="374">
        <f>'7'!O12</f>
        <v>1637579</v>
      </c>
      <c r="D15" s="374">
        <f>'5'!B12</f>
        <v>0</v>
      </c>
      <c r="E15" s="313">
        <v>6200000</v>
      </c>
      <c r="F15" s="313">
        <v>6200000</v>
      </c>
      <c r="G15" s="313">
        <f>1637579+24253460</f>
        <v>25891039</v>
      </c>
      <c r="H15" s="313">
        <f>1637579+24253460</f>
        <v>25891039</v>
      </c>
      <c r="I15" s="313">
        <v>6400000</v>
      </c>
      <c r="J15" s="320">
        <v>6400000</v>
      </c>
    </row>
    <row r="16" spans="1:10" ht="24" x14ac:dyDescent="0.2">
      <c r="A16" s="318" t="s">
        <v>30</v>
      </c>
      <c r="B16" s="311" t="s">
        <v>290</v>
      </c>
      <c r="C16" s="312"/>
      <c r="D16" s="312"/>
      <c r="E16" s="312"/>
      <c r="F16" s="312"/>
      <c r="G16" s="312"/>
      <c r="H16" s="312"/>
      <c r="I16" s="312"/>
      <c r="J16" s="319"/>
    </row>
    <row r="17" spans="1:10" ht="13.5" thickBot="1" x14ac:dyDescent="0.25">
      <c r="A17" s="325" t="s">
        <v>93</v>
      </c>
      <c r="B17" s="326" t="s">
        <v>88</v>
      </c>
      <c r="C17" s="375">
        <f>'7'!O14</f>
        <v>27778703</v>
      </c>
      <c r="D17" s="375">
        <f>'5'!B15</f>
        <v>24824052</v>
      </c>
      <c r="E17" s="327">
        <f>C48</f>
        <v>4415143</v>
      </c>
      <c r="F17" s="327">
        <f>D48</f>
        <v>4415143</v>
      </c>
      <c r="G17" s="327">
        <v>27778703</v>
      </c>
      <c r="H17" s="327">
        <v>27778703</v>
      </c>
      <c r="I17" s="327">
        <f t="shared" ref="I17:J17" si="1">G48</f>
        <v>2827661</v>
      </c>
      <c r="J17" s="327">
        <f t="shared" si="1"/>
        <v>2827661</v>
      </c>
    </row>
    <row r="18" spans="1:10" ht="13.5" thickBot="1" x14ac:dyDescent="0.25">
      <c r="A18" s="333" t="s">
        <v>95</v>
      </c>
      <c r="B18" s="334" t="s">
        <v>160</v>
      </c>
      <c r="C18" s="335">
        <f t="shared" ref="C18:J18" si="2">SUM(C12:C17)</f>
        <v>132906510</v>
      </c>
      <c r="D18" s="335">
        <f t="shared" si="2"/>
        <v>115675812</v>
      </c>
      <c r="E18" s="335">
        <f t="shared" si="2"/>
        <v>119279882.40000001</v>
      </c>
      <c r="F18" s="335">
        <f t="shared" si="2"/>
        <v>95245735.950000003</v>
      </c>
      <c r="G18" s="335">
        <f t="shared" si="2"/>
        <v>157159970</v>
      </c>
      <c r="H18" s="335">
        <f t="shared" si="2"/>
        <v>157159970</v>
      </c>
      <c r="I18" s="335">
        <f t="shared" si="2"/>
        <v>103671055.2</v>
      </c>
      <c r="J18" s="336">
        <f t="shared" si="2"/>
        <v>103671055.2</v>
      </c>
    </row>
    <row r="19" spans="1:10" x14ac:dyDescent="0.2">
      <c r="A19" s="329" t="s">
        <v>242</v>
      </c>
      <c r="B19" s="330" t="s">
        <v>291</v>
      </c>
      <c r="C19" s="331"/>
      <c r="D19" s="331"/>
      <c r="E19" s="331"/>
      <c r="F19" s="331"/>
      <c r="G19" s="331"/>
      <c r="H19" s="331"/>
      <c r="I19" s="331"/>
      <c r="J19" s="332"/>
    </row>
    <row r="20" spans="1:10" x14ac:dyDescent="0.2">
      <c r="A20" s="318" t="s">
        <v>244</v>
      </c>
      <c r="B20" s="311" t="s">
        <v>292</v>
      </c>
      <c r="C20" s="313"/>
      <c r="D20" s="313"/>
      <c r="E20" s="313"/>
      <c r="F20" s="313"/>
      <c r="G20" s="313"/>
      <c r="H20" s="313"/>
      <c r="I20" s="313"/>
      <c r="J20" s="320"/>
    </row>
    <row r="21" spans="1:10" x14ac:dyDescent="0.2">
      <c r="A21" s="318" t="s">
        <v>246</v>
      </c>
      <c r="B21" s="311" t="s">
        <v>293</v>
      </c>
      <c r="C21" s="313"/>
      <c r="D21" s="313"/>
      <c r="E21" s="313"/>
      <c r="F21" s="313"/>
      <c r="G21" s="313"/>
      <c r="H21" s="313"/>
      <c r="I21" s="313"/>
      <c r="J21" s="320"/>
    </row>
    <row r="22" spans="1:10" ht="24" x14ac:dyDescent="0.2">
      <c r="A22" s="318" t="s">
        <v>248</v>
      </c>
      <c r="B22" s="311" t="s">
        <v>294</v>
      </c>
      <c r="C22" s="313"/>
      <c r="D22" s="313"/>
      <c r="E22" s="313"/>
      <c r="F22" s="313"/>
      <c r="G22" s="313"/>
      <c r="H22" s="313"/>
      <c r="I22" s="313"/>
      <c r="J22" s="320"/>
    </row>
    <row r="23" spans="1:10" x14ac:dyDescent="0.2">
      <c r="A23" s="318" t="s">
        <v>295</v>
      </c>
      <c r="B23" s="311" t="s">
        <v>296</v>
      </c>
      <c r="C23" s="313"/>
      <c r="D23" s="313"/>
      <c r="E23" s="313"/>
      <c r="F23" s="313"/>
      <c r="G23" s="313"/>
      <c r="H23" s="313"/>
      <c r="I23" s="313"/>
      <c r="J23" s="320"/>
    </row>
    <row r="24" spans="1:10" x14ac:dyDescent="0.2">
      <c r="A24" s="318" t="s">
        <v>297</v>
      </c>
      <c r="B24" s="311" t="s">
        <v>298</v>
      </c>
      <c r="C24" s="313"/>
      <c r="D24" s="313"/>
      <c r="E24" s="313"/>
      <c r="F24" s="313"/>
      <c r="G24" s="313"/>
      <c r="H24" s="313"/>
      <c r="I24" s="313"/>
      <c r="J24" s="320"/>
    </row>
    <row r="25" spans="1:10" x14ac:dyDescent="0.2">
      <c r="A25" s="316" t="s">
        <v>299</v>
      </c>
      <c r="B25" s="309" t="s">
        <v>300</v>
      </c>
      <c r="C25" s="315">
        <f>SUM(C19:C24)</f>
        <v>0</v>
      </c>
      <c r="D25" s="315">
        <f t="shared" ref="D25:J25" si="3">SUM(D19:D24)</f>
        <v>0</v>
      </c>
      <c r="E25" s="315">
        <f t="shared" si="3"/>
        <v>0</v>
      </c>
      <c r="F25" s="315">
        <f t="shared" si="3"/>
        <v>0</v>
      </c>
      <c r="G25" s="315">
        <f t="shared" si="3"/>
        <v>0</v>
      </c>
      <c r="H25" s="315">
        <f t="shared" si="3"/>
        <v>0</v>
      </c>
      <c r="I25" s="315">
        <f t="shared" si="3"/>
        <v>0</v>
      </c>
      <c r="J25" s="322">
        <f t="shared" si="3"/>
        <v>0</v>
      </c>
    </row>
    <row r="26" spans="1:10" ht="13.5" thickBot="1" x14ac:dyDescent="0.25">
      <c r="A26" s="337" t="s">
        <v>301</v>
      </c>
      <c r="B26" s="338" t="s">
        <v>302</v>
      </c>
      <c r="C26" s="339"/>
      <c r="D26" s="339"/>
      <c r="E26" s="339"/>
      <c r="F26" s="339"/>
      <c r="G26" s="339"/>
      <c r="H26" s="339"/>
      <c r="I26" s="339"/>
      <c r="J26" s="340"/>
    </row>
    <row r="27" spans="1:10" ht="13.5" thickBot="1" x14ac:dyDescent="0.25">
      <c r="A27" s="333" t="s">
        <v>303</v>
      </c>
      <c r="B27" s="334" t="s">
        <v>304</v>
      </c>
      <c r="C27" s="335">
        <f>C26+C25+C18</f>
        <v>132906510</v>
      </c>
      <c r="D27" s="335">
        <f t="shared" ref="D27:J27" si="4">D26+D25+D18</f>
        <v>115675812</v>
      </c>
      <c r="E27" s="335">
        <f t="shared" si="4"/>
        <v>119279882.40000001</v>
      </c>
      <c r="F27" s="335">
        <f t="shared" si="4"/>
        <v>95245735.950000003</v>
      </c>
      <c r="G27" s="335">
        <f t="shared" si="4"/>
        <v>157159970</v>
      </c>
      <c r="H27" s="335">
        <f t="shared" si="4"/>
        <v>157159970</v>
      </c>
      <c r="I27" s="335">
        <f t="shared" si="4"/>
        <v>103671055.2</v>
      </c>
      <c r="J27" s="336">
        <f t="shared" si="4"/>
        <v>103671055.2</v>
      </c>
    </row>
    <row r="28" spans="1:10" ht="15.75" x14ac:dyDescent="0.2">
      <c r="A28" s="265"/>
    </row>
    <row r="29" spans="1:10" ht="18.75" x14ac:dyDescent="0.2">
      <c r="A29" s="266"/>
    </row>
    <row r="30" spans="1:10" x14ac:dyDescent="0.2">
      <c r="A30" s="268"/>
    </row>
    <row r="31" spans="1:10" x14ac:dyDescent="0.2">
      <c r="A31" s="787" t="s">
        <v>458</v>
      </c>
      <c r="B31" s="787"/>
      <c r="C31" s="787"/>
      <c r="D31" s="787"/>
      <c r="E31" s="787"/>
      <c r="F31" s="787"/>
      <c r="G31" s="787"/>
      <c r="H31" s="787"/>
      <c r="I31" s="787"/>
      <c r="J31" s="787"/>
    </row>
    <row r="32" spans="1:10" ht="15.75" x14ac:dyDescent="0.2">
      <c r="A32" s="265"/>
    </row>
    <row r="33" spans="1:10" ht="15.75" x14ac:dyDescent="0.2">
      <c r="A33" s="760" t="s">
        <v>185</v>
      </c>
      <c r="B33" s="760"/>
      <c r="C33" s="760"/>
      <c r="D33" s="760"/>
      <c r="E33" s="760"/>
      <c r="F33" s="760"/>
      <c r="G33" s="760"/>
      <c r="H33" s="760"/>
      <c r="I33" s="760"/>
      <c r="J33" s="760"/>
    </row>
    <row r="34" spans="1:10" ht="15.75" x14ac:dyDescent="0.2">
      <c r="A34" s="760" t="s">
        <v>285</v>
      </c>
      <c r="B34" s="760"/>
      <c r="C34" s="760"/>
      <c r="D34" s="760"/>
      <c r="E34" s="760"/>
      <c r="F34" s="760"/>
      <c r="G34" s="760"/>
      <c r="H34" s="760"/>
      <c r="I34" s="760"/>
      <c r="J34" s="760"/>
    </row>
    <row r="35" spans="1:10" ht="15.75" x14ac:dyDescent="0.2">
      <c r="A35" s="267"/>
    </row>
    <row r="36" spans="1:10" ht="15.75" x14ac:dyDescent="0.2">
      <c r="A36" s="760" t="s">
        <v>97</v>
      </c>
      <c r="B36" s="760"/>
      <c r="C36" s="760"/>
      <c r="D36" s="760"/>
      <c r="E36" s="760"/>
      <c r="F36" s="760"/>
      <c r="G36" s="760"/>
      <c r="H36" s="760"/>
      <c r="I36" s="760"/>
      <c r="J36" s="760"/>
    </row>
    <row r="38" spans="1:10" ht="13.5" thickBot="1" x14ac:dyDescent="0.25">
      <c r="A38" s="308"/>
    </row>
    <row r="39" spans="1:10" ht="13.5" thickBot="1" x14ac:dyDescent="0.25">
      <c r="A39" s="784" t="s">
        <v>97</v>
      </c>
      <c r="B39" s="785"/>
      <c r="C39" s="785"/>
      <c r="D39" s="785"/>
      <c r="E39" s="785"/>
      <c r="F39" s="785"/>
      <c r="G39" s="785"/>
      <c r="H39" s="785"/>
      <c r="I39" s="785"/>
      <c r="J39" s="786"/>
    </row>
    <row r="40" spans="1:10" x14ac:dyDescent="0.2">
      <c r="A40" s="344" t="s">
        <v>232</v>
      </c>
      <c r="B40" s="310" t="s">
        <v>16</v>
      </c>
      <c r="C40" s="780">
        <v>2017</v>
      </c>
      <c r="D40" s="780"/>
      <c r="E40" s="780">
        <v>2018</v>
      </c>
      <c r="F40" s="780"/>
      <c r="G40" s="780">
        <v>2019</v>
      </c>
      <c r="H40" s="780"/>
      <c r="I40" s="780">
        <v>2020</v>
      </c>
      <c r="J40" s="781"/>
    </row>
    <row r="41" spans="1:10" x14ac:dyDescent="0.2">
      <c r="A41" s="316">
        <v>1</v>
      </c>
      <c r="B41" s="310">
        <v>2</v>
      </c>
      <c r="C41" s="309" t="s">
        <v>127</v>
      </c>
      <c r="D41" s="309" t="s">
        <v>286</v>
      </c>
      <c r="E41" s="309" t="s">
        <v>127</v>
      </c>
      <c r="F41" s="309" t="s">
        <v>286</v>
      </c>
      <c r="G41" s="309" t="s">
        <v>127</v>
      </c>
      <c r="H41" s="309" t="s">
        <v>286</v>
      </c>
      <c r="I41" s="309" t="s">
        <v>127</v>
      </c>
      <c r="J41" s="317" t="s">
        <v>286</v>
      </c>
    </row>
    <row r="42" spans="1:10" x14ac:dyDescent="0.2">
      <c r="A42" s="318" t="s">
        <v>22</v>
      </c>
      <c r="B42" s="311" t="s">
        <v>23</v>
      </c>
      <c r="C42" s="312">
        <f>'4'!G12</f>
        <v>36060490</v>
      </c>
      <c r="D42" s="312">
        <f>C42</f>
        <v>36060490</v>
      </c>
      <c r="E42" s="312">
        <f>C42*1.05</f>
        <v>37863514.5</v>
      </c>
      <c r="F42" s="312">
        <f t="shared" ref="F42:J45" si="5">D42*1.05</f>
        <v>37863514.5</v>
      </c>
      <c r="G42" s="312">
        <v>39833049</v>
      </c>
      <c r="H42" s="312">
        <v>39833049</v>
      </c>
      <c r="I42" s="312">
        <f t="shared" si="5"/>
        <v>41824701.450000003</v>
      </c>
      <c r="J42" s="312">
        <f t="shared" si="5"/>
        <v>41824701.450000003</v>
      </c>
    </row>
    <row r="43" spans="1:10" x14ac:dyDescent="0.2">
      <c r="A43" s="318" t="s">
        <v>24</v>
      </c>
      <c r="B43" s="311" t="s">
        <v>305</v>
      </c>
      <c r="C43" s="312">
        <f>'4'!G13</f>
        <v>7048371</v>
      </c>
      <c r="D43" s="312">
        <f t="shared" ref="D43:D48" si="6">C43</f>
        <v>7048371</v>
      </c>
      <c r="E43" s="312">
        <f t="shared" ref="E43:E45" si="7">C43*1.05</f>
        <v>7400789.5500000007</v>
      </c>
      <c r="F43" s="312">
        <f t="shared" si="5"/>
        <v>7400789.5500000007</v>
      </c>
      <c r="G43" s="312">
        <v>7287414</v>
      </c>
      <c r="H43" s="312">
        <v>7287414</v>
      </c>
      <c r="I43" s="312">
        <f t="shared" si="5"/>
        <v>7651784.7000000002</v>
      </c>
      <c r="J43" s="312">
        <f t="shared" si="5"/>
        <v>7651784.7000000002</v>
      </c>
    </row>
    <row r="44" spans="1:10" x14ac:dyDescent="0.2">
      <c r="A44" s="318" t="s">
        <v>26</v>
      </c>
      <c r="B44" s="311" t="s">
        <v>27</v>
      </c>
      <c r="C44" s="312">
        <f>'4'!G14</f>
        <v>49017653</v>
      </c>
      <c r="D44" s="312">
        <f t="shared" si="6"/>
        <v>49017653</v>
      </c>
      <c r="E44" s="312">
        <f t="shared" si="7"/>
        <v>51468535.649999999</v>
      </c>
      <c r="F44" s="312">
        <f t="shared" si="5"/>
        <v>51468535.649999999</v>
      </c>
      <c r="G44" s="312">
        <v>43975709</v>
      </c>
      <c r="H44" s="312">
        <v>43975709</v>
      </c>
      <c r="I44" s="312">
        <f t="shared" si="5"/>
        <v>46174494.450000003</v>
      </c>
      <c r="J44" s="312">
        <f t="shared" si="5"/>
        <v>46174494.450000003</v>
      </c>
    </row>
    <row r="45" spans="1:10" x14ac:dyDescent="0.2">
      <c r="A45" s="318" t="s">
        <v>28</v>
      </c>
      <c r="B45" s="311" t="s">
        <v>307</v>
      </c>
      <c r="C45" s="373">
        <f>'4'!G16</f>
        <v>5040000</v>
      </c>
      <c r="D45" s="312">
        <f t="shared" si="6"/>
        <v>5040000</v>
      </c>
      <c r="E45" s="312">
        <f t="shared" si="7"/>
        <v>5292000</v>
      </c>
      <c r="F45" s="312">
        <f t="shared" si="5"/>
        <v>5292000</v>
      </c>
      <c r="G45" s="373">
        <v>4086589</v>
      </c>
      <c r="H45" s="373">
        <v>4086589</v>
      </c>
      <c r="I45" s="312">
        <f t="shared" si="5"/>
        <v>4290918.45</v>
      </c>
      <c r="J45" s="312">
        <f t="shared" si="5"/>
        <v>4290918.45</v>
      </c>
    </row>
    <row r="46" spans="1:10" x14ac:dyDescent="0.2">
      <c r="A46" s="318" t="s">
        <v>30</v>
      </c>
      <c r="B46" s="311" t="s">
        <v>344</v>
      </c>
      <c r="C46" s="373">
        <f>'4'!G18</f>
        <v>2209900</v>
      </c>
      <c r="D46" s="312">
        <f t="shared" si="6"/>
        <v>2209900</v>
      </c>
      <c r="E46" s="373">
        <f>C46</f>
        <v>2209900</v>
      </c>
      <c r="F46" s="373">
        <f t="shared" ref="F46:J47" si="8">D46</f>
        <v>2209900</v>
      </c>
      <c r="G46" s="373">
        <v>3268953</v>
      </c>
      <c r="H46" s="373">
        <v>3268953</v>
      </c>
      <c r="I46" s="373">
        <f t="shared" si="8"/>
        <v>3268953</v>
      </c>
      <c r="J46" s="373">
        <f t="shared" si="8"/>
        <v>3268953</v>
      </c>
    </row>
    <row r="47" spans="1:10" x14ac:dyDescent="0.2">
      <c r="A47" s="318" t="s">
        <v>91</v>
      </c>
      <c r="B47" s="311" t="s">
        <v>306</v>
      </c>
      <c r="C47" s="373" t="e">
        <f>'4'!G19+'4'!#REF!</f>
        <v>#REF!</v>
      </c>
      <c r="D47" s="312">
        <f>'4'!G19</f>
        <v>1090000</v>
      </c>
      <c r="E47" s="373" t="e">
        <f>C47</f>
        <v>#REF!</v>
      </c>
      <c r="F47" s="373">
        <f t="shared" si="8"/>
        <v>1090000</v>
      </c>
      <c r="G47" s="373">
        <v>4588900</v>
      </c>
      <c r="H47" s="373">
        <v>4588900</v>
      </c>
      <c r="I47" s="373">
        <f t="shared" si="8"/>
        <v>4588900</v>
      </c>
      <c r="J47" s="373">
        <f t="shared" si="8"/>
        <v>4588900</v>
      </c>
    </row>
    <row r="48" spans="1:10" ht="13.5" thickBot="1" x14ac:dyDescent="0.25">
      <c r="A48" s="325" t="s">
        <v>93</v>
      </c>
      <c r="B48" s="326" t="s">
        <v>171</v>
      </c>
      <c r="C48" s="327">
        <f>'4'!G28</f>
        <v>4415143</v>
      </c>
      <c r="D48" s="312">
        <f t="shared" si="6"/>
        <v>4415143</v>
      </c>
      <c r="E48" s="327">
        <v>16814128</v>
      </c>
      <c r="F48" s="327">
        <v>16814128</v>
      </c>
      <c r="G48" s="327">
        <v>2827661</v>
      </c>
      <c r="H48" s="327">
        <v>2827661</v>
      </c>
      <c r="I48" s="327">
        <v>980470</v>
      </c>
      <c r="J48" s="328">
        <v>980470</v>
      </c>
    </row>
    <row r="49" spans="1:10" ht="13.5" thickBot="1" x14ac:dyDescent="0.25">
      <c r="A49" s="333" t="s">
        <v>95</v>
      </c>
      <c r="B49" s="334" t="s">
        <v>47</v>
      </c>
      <c r="C49" s="335" t="e">
        <f>SUM(C42:C48)</f>
        <v>#REF!</v>
      </c>
      <c r="D49" s="335">
        <f t="shared" ref="D49:J49" si="9">SUM(D42:D48)</f>
        <v>104881557</v>
      </c>
      <c r="E49" s="335" t="e">
        <f t="shared" si="9"/>
        <v>#REF!</v>
      </c>
      <c r="F49" s="335">
        <f t="shared" si="9"/>
        <v>122138867.69999999</v>
      </c>
      <c r="G49" s="335">
        <f t="shared" si="9"/>
        <v>105868275</v>
      </c>
      <c r="H49" s="335">
        <f t="shared" si="9"/>
        <v>105868275</v>
      </c>
      <c r="I49" s="335">
        <f t="shared" si="9"/>
        <v>108780222.05000001</v>
      </c>
      <c r="J49" s="336">
        <f t="shared" si="9"/>
        <v>108780222.05000001</v>
      </c>
    </row>
    <row r="50" spans="1:10" x14ac:dyDescent="0.2">
      <c r="A50" s="329" t="s">
        <v>242</v>
      </c>
      <c r="B50" s="330" t="s">
        <v>194</v>
      </c>
      <c r="C50" s="341">
        <f>'4'!G21</f>
        <v>17619484</v>
      </c>
      <c r="D50" s="341">
        <f>'4'!H21</f>
        <v>39132294</v>
      </c>
      <c r="E50" s="341"/>
      <c r="F50" s="341">
        <f>'4'!J21</f>
        <v>39617294</v>
      </c>
      <c r="G50" s="341">
        <v>3918958</v>
      </c>
      <c r="H50" s="341">
        <v>3918958</v>
      </c>
      <c r="I50" s="341">
        <v>0</v>
      </c>
      <c r="J50" s="341">
        <f>'4'!N21</f>
        <v>0</v>
      </c>
    </row>
    <row r="51" spans="1:10" x14ac:dyDescent="0.2">
      <c r="A51" s="318" t="s">
        <v>244</v>
      </c>
      <c r="B51" s="311" t="s">
        <v>308</v>
      </c>
      <c r="C51" s="313"/>
      <c r="D51" s="313"/>
      <c r="E51" s="313"/>
      <c r="F51" s="313"/>
      <c r="G51" s="313"/>
      <c r="H51" s="313"/>
      <c r="I51" s="313"/>
      <c r="J51" s="320"/>
    </row>
    <row r="52" spans="1:10" x14ac:dyDescent="0.2">
      <c r="A52" s="318" t="s">
        <v>246</v>
      </c>
      <c r="B52" s="311" t="s">
        <v>309</v>
      </c>
      <c r="C52" s="313"/>
      <c r="D52" s="313"/>
      <c r="E52" s="313"/>
      <c r="F52" s="313"/>
      <c r="G52" s="313"/>
      <c r="H52" s="313"/>
      <c r="I52" s="313"/>
      <c r="J52" s="320"/>
    </row>
    <row r="53" spans="1:10" x14ac:dyDescent="0.2">
      <c r="A53" s="318" t="s">
        <v>248</v>
      </c>
      <c r="B53" s="311" t="s">
        <v>310</v>
      </c>
      <c r="C53" s="313"/>
      <c r="D53" s="313"/>
      <c r="E53" s="313"/>
      <c r="F53" s="313"/>
      <c r="G53" s="313"/>
      <c r="H53" s="313"/>
      <c r="I53" s="313"/>
      <c r="J53" s="320"/>
    </row>
    <row r="54" spans="1:10" x14ac:dyDescent="0.2">
      <c r="A54" s="318" t="s">
        <v>295</v>
      </c>
      <c r="B54" s="311" t="s">
        <v>311</v>
      </c>
      <c r="C54" s="313"/>
      <c r="D54" s="313"/>
      <c r="E54" s="313"/>
      <c r="F54" s="313"/>
      <c r="G54" s="313"/>
      <c r="H54" s="313"/>
      <c r="I54" s="313"/>
      <c r="J54" s="320"/>
    </row>
    <row r="55" spans="1:10" ht="24" x14ac:dyDescent="0.2">
      <c r="A55" s="318" t="s">
        <v>297</v>
      </c>
      <c r="B55" s="311" t="s">
        <v>312</v>
      </c>
      <c r="C55" s="313"/>
      <c r="D55" s="313"/>
      <c r="E55" s="313"/>
      <c r="F55" s="313"/>
      <c r="G55" s="313"/>
      <c r="H55" s="313"/>
      <c r="I55" s="313"/>
      <c r="J55" s="320"/>
    </row>
    <row r="56" spans="1:10" ht="24" x14ac:dyDescent="0.2">
      <c r="A56" s="318" t="s">
        <v>299</v>
      </c>
      <c r="B56" s="311" t="s">
        <v>313</v>
      </c>
      <c r="C56" s="313"/>
      <c r="D56" s="313"/>
      <c r="E56" s="313"/>
      <c r="F56" s="313"/>
      <c r="G56" s="313"/>
      <c r="H56" s="313"/>
      <c r="I56" s="313"/>
      <c r="J56" s="320"/>
    </row>
    <row r="57" spans="1:10" x14ac:dyDescent="0.2">
      <c r="A57" s="318" t="s">
        <v>301</v>
      </c>
      <c r="B57" s="311" t="s">
        <v>314</v>
      </c>
      <c r="C57" s="313"/>
      <c r="D57" s="313"/>
      <c r="E57" s="313"/>
      <c r="F57" s="313"/>
      <c r="G57" s="313"/>
      <c r="H57" s="313"/>
      <c r="I57" s="313"/>
      <c r="J57" s="320"/>
    </row>
    <row r="58" spans="1:10" x14ac:dyDescent="0.2">
      <c r="A58" s="318" t="s">
        <v>303</v>
      </c>
      <c r="B58" s="311" t="s">
        <v>184</v>
      </c>
      <c r="C58" s="313"/>
      <c r="D58" s="313"/>
      <c r="E58" s="313"/>
      <c r="F58" s="313"/>
      <c r="G58" s="313"/>
      <c r="H58" s="313"/>
      <c r="I58" s="313"/>
      <c r="J58" s="320"/>
    </row>
    <row r="59" spans="1:10" x14ac:dyDescent="0.2">
      <c r="A59" s="316" t="s">
        <v>315</v>
      </c>
      <c r="B59" s="309" t="s">
        <v>316</v>
      </c>
      <c r="C59" s="314">
        <f>SUM(C50:C58)</f>
        <v>17619484</v>
      </c>
      <c r="D59" s="314">
        <f t="shared" ref="D59:J59" si="10">SUM(D50:D58)</f>
        <v>39132294</v>
      </c>
      <c r="E59" s="314">
        <f t="shared" si="10"/>
        <v>0</v>
      </c>
      <c r="F59" s="314">
        <f t="shared" si="10"/>
        <v>39617294</v>
      </c>
      <c r="G59" s="314">
        <f>SUM(G50:G58)</f>
        <v>3918958</v>
      </c>
      <c r="H59" s="314">
        <f t="shared" si="10"/>
        <v>3918958</v>
      </c>
      <c r="I59" s="314">
        <f t="shared" si="10"/>
        <v>0</v>
      </c>
      <c r="J59" s="321">
        <f t="shared" si="10"/>
        <v>0</v>
      </c>
    </row>
    <row r="60" spans="1:10" ht="13.5" thickBot="1" x14ac:dyDescent="0.25">
      <c r="A60" s="337" t="s">
        <v>317</v>
      </c>
      <c r="B60" s="338" t="s">
        <v>318</v>
      </c>
      <c r="C60" s="339"/>
      <c r="D60" s="339"/>
      <c r="E60" s="339"/>
      <c r="F60" s="339"/>
      <c r="G60" s="339"/>
      <c r="H60" s="339"/>
      <c r="I60" s="339"/>
      <c r="J60" s="340"/>
    </row>
    <row r="61" spans="1:10" ht="13.5" thickBot="1" x14ac:dyDescent="0.25">
      <c r="A61" s="333" t="s">
        <v>319</v>
      </c>
      <c r="B61" s="334" t="s">
        <v>320</v>
      </c>
      <c r="C61" s="335" t="e">
        <f>C49+C59+C60</f>
        <v>#REF!</v>
      </c>
      <c r="D61" s="335">
        <f t="shared" ref="D61:J61" si="11">D49+D59+D60</f>
        <v>144013851</v>
      </c>
      <c r="E61" s="335" t="e">
        <f t="shared" si="11"/>
        <v>#REF!</v>
      </c>
      <c r="F61" s="335">
        <f t="shared" si="11"/>
        <v>161756161.69999999</v>
      </c>
      <c r="G61" s="335">
        <f t="shared" si="11"/>
        <v>109787233</v>
      </c>
      <c r="H61" s="335">
        <f t="shared" si="11"/>
        <v>109787233</v>
      </c>
      <c r="I61" s="335">
        <f t="shared" si="11"/>
        <v>108780222.05000001</v>
      </c>
      <c r="J61" s="336">
        <f t="shared" si="11"/>
        <v>108780222.05000001</v>
      </c>
    </row>
    <row r="62" spans="1:10" ht="13.5" thickBot="1" x14ac:dyDescent="0.25">
      <c r="A62" s="342" t="s">
        <v>321</v>
      </c>
      <c r="B62" s="343" t="s">
        <v>322</v>
      </c>
      <c r="C62" s="394" t="e">
        <f>C27-C61</f>
        <v>#REF!</v>
      </c>
      <c r="D62" s="394"/>
      <c r="E62" s="394" t="e">
        <f t="shared" ref="E62:I62" si="12">E27-E61</f>
        <v>#REF!</v>
      </c>
      <c r="F62" s="394"/>
      <c r="G62" s="394">
        <f t="shared" si="12"/>
        <v>47372737</v>
      </c>
      <c r="H62" s="394"/>
      <c r="I62" s="394">
        <f t="shared" si="12"/>
        <v>-5109166.8500000089</v>
      </c>
      <c r="J62" s="394"/>
    </row>
    <row r="63" spans="1:10" ht="15.75" x14ac:dyDescent="0.2">
      <c r="A63" s="265"/>
    </row>
    <row r="64" spans="1:10" ht="15.75" x14ac:dyDescent="0.2">
      <c r="A64" s="265"/>
    </row>
    <row r="65" spans="1:1" ht="15.75" x14ac:dyDescent="0.2">
      <c r="A65" s="265"/>
    </row>
  </sheetData>
  <mergeCells count="18">
    <mergeCell ref="A4:J4"/>
    <mergeCell ref="A6:J6"/>
    <mergeCell ref="A3:J3"/>
    <mergeCell ref="A1:J1"/>
    <mergeCell ref="A9:J9"/>
    <mergeCell ref="C40:D40"/>
    <mergeCell ref="E40:F40"/>
    <mergeCell ref="G40:H40"/>
    <mergeCell ref="I40:J40"/>
    <mergeCell ref="C10:D10"/>
    <mergeCell ref="E10:F10"/>
    <mergeCell ref="G10:H10"/>
    <mergeCell ref="I10:J10"/>
    <mergeCell ref="A39:J39"/>
    <mergeCell ref="A31:J31"/>
    <mergeCell ref="A33:J33"/>
    <mergeCell ref="A36:J36"/>
    <mergeCell ref="A34:J34"/>
  </mergeCells>
  <pageMargins left="0.7" right="0.7" top="0.75" bottom="0.75" header="0.3" footer="0.3"/>
  <pageSetup paperSize="9" orientation="landscape" r:id="rId1"/>
  <rowBreaks count="1" manualBreakCount="1">
    <brk id="3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48"/>
  <sheetViews>
    <sheetView view="pageBreakPreview" zoomScale="145" zoomScaleNormal="100" zoomScaleSheetLayoutView="145" workbookViewId="0">
      <selection sqref="A1:F1"/>
    </sheetView>
  </sheetViews>
  <sheetFormatPr defaultColWidth="8" defaultRowHeight="12.75" x14ac:dyDescent="0.2"/>
  <cols>
    <col min="1" max="1" width="8.28515625" style="130" customWidth="1"/>
    <col min="2" max="2" width="8.28515625" style="61" customWidth="1"/>
    <col min="3" max="3" width="42" style="61" customWidth="1"/>
    <col min="4" max="5" width="11.42578125" style="61" customWidth="1"/>
    <col min="6" max="6" width="9.7109375" style="61" customWidth="1"/>
    <col min="7" max="7" width="10.5703125" style="61" bestFit="1" customWidth="1"/>
    <col min="8" max="16384" width="8" style="61"/>
  </cols>
  <sheetData>
    <row r="1" spans="1:11" s="52" customFormat="1" ht="34.5" customHeight="1" x14ac:dyDescent="0.2">
      <c r="A1" s="791" t="s">
        <v>675</v>
      </c>
      <c r="B1" s="791"/>
      <c r="C1" s="791"/>
      <c r="D1" s="791"/>
      <c r="E1" s="791"/>
      <c r="F1" s="791"/>
      <c r="G1" s="161"/>
      <c r="H1" s="161"/>
      <c r="I1" s="161"/>
      <c r="J1" s="161"/>
      <c r="K1" s="161"/>
    </row>
    <row r="2" spans="1:11" s="52" customFormat="1" ht="21" customHeight="1" thickBot="1" x14ac:dyDescent="0.25">
      <c r="A2" s="50"/>
      <c r="B2" s="51"/>
      <c r="C2" s="407"/>
      <c r="F2" s="407" t="s">
        <v>420</v>
      </c>
    </row>
    <row r="3" spans="1:11" s="53" customFormat="1" ht="25.5" customHeight="1" thickBot="1" x14ac:dyDescent="0.25">
      <c r="A3" s="796" t="s">
        <v>59</v>
      </c>
      <c r="B3" s="797"/>
      <c r="C3" s="799" t="s">
        <v>60</v>
      </c>
      <c r="D3" s="800"/>
      <c r="E3" s="800"/>
      <c r="F3" s="801"/>
    </row>
    <row r="4" spans="1:11" s="53" customFormat="1" ht="16.5" thickBot="1" x14ac:dyDescent="0.25">
      <c r="A4" s="54" t="s">
        <v>61</v>
      </c>
      <c r="B4" s="55"/>
      <c r="C4" s="799" t="s">
        <v>391</v>
      </c>
      <c r="D4" s="800"/>
      <c r="E4" s="800"/>
      <c r="F4" s="801"/>
    </row>
    <row r="5" spans="1:11" s="57" customFormat="1" ht="15.95" customHeight="1" thickBot="1" x14ac:dyDescent="0.25">
      <c r="A5" s="56"/>
      <c r="B5" s="56"/>
      <c r="C5" s="56"/>
      <c r="D5" s="56"/>
      <c r="E5" s="56"/>
    </row>
    <row r="6" spans="1:11" ht="30" customHeight="1" thickBot="1" x14ac:dyDescent="0.25">
      <c r="A6" s="792" t="s">
        <v>62</v>
      </c>
      <c r="B6" s="798"/>
      <c r="C6" s="59" t="s">
        <v>63</v>
      </c>
      <c r="D6" s="60" t="s">
        <v>64</v>
      </c>
      <c r="E6" s="60" t="s">
        <v>431</v>
      </c>
      <c r="F6" s="60" t="s">
        <v>255</v>
      </c>
    </row>
    <row r="7" spans="1:11" s="65" customFormat="1" ht="12.95" customHeight="1" thickBot="1" x14ac:dyDescent="0.25">
      <c r="A7" s="62">
        <v>1</v>
      </c>
      <c r="B7" s="63">
        <v>2</v>
      </c>
      <c r="C7" s="63">
        <v>3</v>
      </c>
      <c r="D7" s="64"/>
      <c r="E7" s="516"/>
      <c r="F7" s="516"/>
    </row>
    <row r="8" spans="1:11" s="65" customFormat="1" ht="15.95" customHeight="1" thickBot="1" x14ac:dyDescent="0.25">
      <c r="A8" s="58"/>
      <c r="B8" s="66"/>
      <c r="C8" s="792" t="s">
        <v>65</v>
      </c>
      <c r="D8" s="793"/>
      <c r="E8" s="517"/>
      <c r="F8" s="517"/>
    </row>
    <row r="9" spans="1:11" s="69" customFormat="1" ht="12" customHeight="1" thickBot="1" x14ac:dyDescent="0.25">
      <c r="A9" s="62" t="s">
        <v>22</v>
      </c>
      <c r="B9" s="67"/>
      <c r="C9" s="199" t="s">
        <v>66</v>
      </c>
      <c r="D9" s="82">
        <f>SUM(D10:D14)</f>
        <v>8347461</v>
      </c>
      <c r="E9" s="82">
        <f>SUM(E10:E14)</f>
        <v>9348461</v>
      </c>
      <c r="F9" s="82">
        <f>SUM(F10:F14)</f>
        <v>9350755</v>
      </c>
    </row>
    <row r="10" spans="1:11" s="69" customFormat="1" ht="12" customHeight="1" x14ac:dyDescent="0.2">
      <c r="A10" s="70"/>
      <c r="B10" s="71" t="s">
        <v>67</v>
      </c>
      <c r="C10" s="72" t="s">
        <v>463</v>
      </c>
      <c r="D10" s="86">
        <f>'2'!B9-1918020</f>
        <v>8347461</v>
      </c>
      <c r="E10" s="86">
        <v>4990000</v>
      </c>
      <c r="F10" s="73">
        <v>4989981</v>
      </c>
    </row>
    <row r="11" spans="1:11" s="69" customFormat="1" ht="12" customHeight="1" x14ac:dyDescent="0.2">
      <c r="A11" s="70"/>
      <c r="B11" s="71" t="s">
        <v>68</v>
      </c>
      <c r="C11" s="72" t="s">
        <v>71</v>
      </c>
      <c r="D11" s="73"/>
      <c r="E11" s="73">
        <v>2370461</v>
      </c>
      <c r="F11" s="73">
        <v>2369607</v>
      </c>
    </row>
    <row r="12" spans="1:11" s="69" customFormat="1" ht="12" customHeight="1" x14ac:dyDescent="0.2">
      <c r="A12" s="74"/>
      <c r="B12" s="71" t="s">
        <v>69</v>
      </c>
      <c r="C12" s="72" t="s">
        <v>73</v>
      </c>
      <c r="D12" s="75"/>
      <c r="E12" s="75">
        <v>1988000</v>
      </c>
      <c r="F12" s="75">
        <v>1987836</v>
      </c>
    </row>
    <row r="13" spans="1:11" s="76" customFormat="1" ht="12" customHeight="1" x14ac:dyDescent="0.2">
      <c r="A13" s="70"/>
      <c r="B13" s="71" t="s">
        <v>70</v>
      </c>
      <c r="C13" s="72" t="s">
        <v>464</v>
      </c>
      <c r="D13" s="73"/>
      <c r="E13" s="73"/>
      <c r="F13" s="73">
        <v>3311</v>
      </c>
    </row>
    <row r="14" spans="1:11" s="76" customFormat="1" ht="12" customHeight="1" thickBot="1" x14ac:dyDescent="0.25">
      <c r="A14" s="200"/>
      <c r="B14" s="201" t="s">
        <v>72</v>
      </c>
      <c r="C14" s="202" t="s">
        <v>74</v>
      </c>
      <c r="D14" s="203"/>
      <c r="E14" s="203"/>
      <c r="F14" s="203">
        <v>20</v>
      </c>
    </row>
    <row r="15" spans="1:11" s="69" customFormat="1" ht="12" customHeight="1" thickBot="1" x14ac:dyDescent="0.25">
      <c r="A15" s="62" t="s">
        <v>24</v>
      </c>
      <c r="B15" s="80"/>
      <c r="C15" s="81" t="s">
        <v>75</v>
      </c>
      <c r="D15" s="82">
        <f>SUM(D16:D19)</f>
        <v>0</v>
      </c>
      <c r="E15" s="82">
        <f>SUM(E16:E19)</f>
        <v>0</v>
      </c>
      <c r="F15" s="82">
        <f>SUM(F16:F19)</f>
        <v>0</v>
      </c>
    </row>
    <row r="16" spans="1:11" s="76" customFormat="1" ht="12" customHeight="1" x14ac:dyDescent="0.2">
      <c r="A16" s="83"/>
      <c r="B16" s="84" t="s">
        <v>76</v>
      </c>
      <c r="C16" s="85" t="s">
        <v>77</v>
      </c>
      <c r="D16" s="86"/>
      <c r="E16" s="86"/>
      <c r="F16" s="86"/>
    </row>
    <row r="17" spans="1:7" s="76" customFormat="1" ht="12" customHeight="1" x14ac:dyDescent="0.2">
      <c r="A17" s="70"/>
      <c r="B17" s="71" t="s">
        <v>78</v>
      </c>
      <c r="C17" s="72" t="s">
        <v>79</v>
      </c>
      <c r="D17" s="73"/>
      <c r="E17" s="73"/>
      <c r="F17" s="73"/>
    </row>
    <row r="18" spans="1:7" s="76" customFormat="1" ht="12" customHeight="1" x14ac:dyDescent="0.2">
      <c r="A18" s="70"/>
      <c r="B18" s="71" t="s">
        <v>80</v>
      </c>
      <c r="C18" s="72" t="s">
        <v>81</v>
      </c>
      <c r="D18" s="73"/>
      <c r="E18" s="73"/>
      <c r="F18" s="73"/>
    </row>
    <row r="19" spans="1:7" s="76" customFormat="1" ht="12" customHeight="1" thickBot="1" x14ac:dyDescent="0.25">
      <c r="A19" s="77"/>
      <c r="B19" s="78" t="s">
        <v>82</v>
      </c>
      <c r="C19" s="87" t="s">
        <v>83</v>
      </c>
      <c r="D19" s="79"/>
      <c r="E19" s="79"/>
      <c r="F19" s="79"/>
    </row>
    <row r="20" spans="1:7" s="76" customFormat="1" ht="12" customHeight="1" thickBot="1" x14ac:dyDescent="0.25">
      <c r="A20" s="88" t="s">
        <v>26</v>
      </c>
      <c r="B20" s="89"/>
      <c r="C20" s="89" t="s">
        <v>84</v>
      </c>
      <c r="D20" s="90"/>
      <c r="E20" s="90"/>
      <c r="F20" s="90"/>
    </row>
    <row r="21" spans="1:7" s="69" customFormat="1" ht="12" customHeight="1" thickBot="1" x14ac:dyDescent="0.25">
      <c r="A21" s="88" t="s">
        <v>28</v>
      </c>
      <c r="B21" s="91"/>
      <c r="C21" s="89" t="s">
        <v>85</v>
      </c>
      <c r="D21" s="90"/>
      <c r="E21" s="90"/>
      <c r="F21" s="90"/>
    </row>
    <row r="22" spans="1:7" s="69" customFormat="1" ht="12" customHeight="1" thickBot="1" x14ac:dyDescent="0.25">
      <c r="A22" s="62" t="s">
        <v>30</v>
      </c>
      <c r="B22" s="92"/>
      <c r="C22" s="89" t="s">
        <v>86</v>
      </c>
      <c r="D22" s="82">
        <f>SUM(D23:D24)</f>
        <v>2313177</v>
      </c>
      <c r="E22" s="82">
        <v>1587177</v>
      </c>
      <c r="F22" s="82">
        <v>1587177</v>
      </c>
    </row>
    <row r="23" spans="1:7" s="69" customFormat="1" ht="12" customHeight="1" x14ac:dyDescent="0.2">
      <c r="A23" s="83"/>
      <c r="B23" s="93" t="s">
        <v>87</v>
      </c>
      <c r="C23" s="94" t="s">
        <v>88</v>
      </c>
      <c r="D23" s="95">
        <v>2313177</v>
      </c>
      <c r="E23" s="95">
        <v>1587177</v>
      </c>
      <c r="F23" s="95">
        <v>1587177</v>
      </c>
    </row>
    <row r="24" spans="1:7" s="69" customFormat="1" ht="12" customHeight="1" thickBot="1" x14ac:dyDescent="0.25">
      <c r="A24" s="77"/>
      <c r="B24" s="96" t="s">
        <v>89</v>
      </c>
      <c r="C24" s="97" t="s">
        <v>90</v>
      </c>
      <c r="D24" s="98"/>
      <c r="E24" s="98"/>
      <c r="F24" s="98"/>
    </row>
    <row r="25" spans="1:7" s="76" customFormat="1" ht="12" customHeight="1" thickBot="1" x14ac:dyDescent="0.25">
      <c r="A25" s="99" t="s">
        <v>91</v>
      </c>
      <c r="B25" s="100"/>
      <c r="C25" s="89" t="s">
        <v>92</v>
      </c>
      <c r="D25" s="90">
        <v>39776010</v>
      </c>
      <c r="E25" s="90">
        <v>37130375</v>
      </c>
      <c r="F25" s="90">
        <v>37130375</v>
      </c>
      <c r="G25" s="398"/>
    </row>
    <row r="26" spans="1:7" s="76" customFormat="1" ht="12" customHeight="1" thickBot="1" x14ac:dyDescent="0.25">
      <c r="A26" s="99" t="s">
        <v>93</v>
      </c>
      <c r="B26" s="101"/>
      <c r="C26" s="102" t="s">
        <v>94</v>
      </c>
      <c r="D26" s="90"/>
      <c r="E26" s="90"/>
      <c r="F26" s="90"/>
    </row>
    <row r="27" spans="1:7" s="76" customFormat="1" ht="15" customHeight="1" thickBot="1" x14ac:dyDescent="0.25">
      <c r="A27" s="99" t="s">
        <v>95</v>
      </c>
      <c r="B27" s="103"/>
      <c r="C27" s="104" t="s">
        <v>96</v>
      </c>
      <c r="D27" s="82">
        <f>SUM(D9,D15,D20,D21,D22,D25,D26)</f>
        <v>50436648</v>
      </c>
      <c r="E27" s="82">
        <f>SUM(E9,E15,E20,E21,E22,E25,E26)</f>
        <v>48066013</v>
      </c>
      <c r="F27" s="82">
        <f>SUM(F9,F15,F20,F21,F22,F25,F26)</f>
        <v>48068307</v>
      </c>
    </row>
    <row r="28" spans="1:7" s="76" customFormat="1" ht="15" customHeight="1" x14ac:dyDescent="0.2">
      <c r="A28" s="105"/>
      <c r="B28" s="106"/>
      <c r="C28" s="107"/>
      <c r="D28" s="539"/>
      <c r="E28" s="107"/>
    </row>
    <row r="29" spans="1:7" ht="13.5" thickBot="1" x14ac:dyDescent="0.25">
      <c r="A29" s="108"/>
      <c r="B29" s="109"/>
      <c r="C29" s="109"/>
      <c r="D29" s="109"/>
      <c r="E29" s="109"/>
    </row>
    <row r="30" spans="1:7" s="65" customFormat="1" ht="16.5" customHeight="1" thickBot="1" x14ac:dyDescent="0.25">
      <c r="A30" s="792" t="s">
        <v>97</v>
      </c>
      <c r="B30" s="793"/>
      <c r="C30" s="793"/>
      <c r="D30" s="793"/>
      <c r="E30" s="793"/>
      <c r="F30" s="794"/>
    </row>
    <row r="31" spans="1:7" s="112" customFormat="1" ht="12" customHeight="1" thickBot="1" x14ac:dyDescent="0.25">
      <c r="A31" s="88" t="s">
        <v>22</v>
      </c>
      <c r="B31" s="110"/>
      <c r="C31" s="111" t="s">
        <v>113</v>
      </c>
      <c r="D31" s="82">
        <f>SUM(D32:D36)</f>
        <v>49458648</v>
      </c>
      <c r="E31" s="82">
        <f>SUM(E32:E36)</f>
        <v>47581013</v>
      </c>
      <c r="F31" s="82">
        <f>SUM(F32:F36)</f>
        <v>46909472</v>
      </c>
    </row>
    <row r="32" spans="1:7" ht="12" customHeight="1" x14ac:dyDescent="0.2">
      <c r="A32" s="113"/>
      <c r="B32" s="93" t="s">
        <v>67</v>
      </c>
      <c r="C32" s="85" t="s">
        <v>98</v>
      </c>
      <c r="D32" s="86">
        <f>'4ovi'!E12</f>
        <v>25365000</v>
      </c>
      <c r="E32" s="86">
        <f>'4ovi'!F12</f>
        <v>25755000</v>
      </c>
      <c r="F32" s="86">
        <f>'4ovi'!G12</f>
        <v>25488662</v>
      </c>
    </row>
    <row r="33" spans="1:6" ht="12" customHeight="1" x14ac:dyDescent="0.2">
      <c r="A33" s="114"/>
      <c r="B33" s="115" t="s">
        <v>68</v>
      </c>
      <c r="C33" s="72" t="s">
        <v>99</v>
      </c>
      <c r="D33" s="86">
        <f>'4ovi'!E13</f>
        <v>4931675</v>
      </c>
      <c r="E33" s="86">
        <f>'4ovi'!F13</f>
        <v>4931675</v>
      </c>
      <c r="F33" s="86">
        <f>'4ovi'!G13</f>
        <v>4843817</v>
      </c>
    </row>
    <row r="34" spans="1:6" ht="12" customHeight="1" x14ac:dyDescent="0.2">
      <c r="A34" s="114"/>
      <c r="B34" s="115" t="s">
        <v>69</v>
      </c>
      <c r="C34" s="72" t="s">
        <v>100</v>
      </c>
      <c r="D34" s="86">
        <f>'4ovi'!E14</f>
        <v>19161973</v>
      </c>
      <c r="E34" s="86">
        <f>'4ovi'!F14</f>
        <v>16894338</v>
      </c>
      <c r="F34" s="86">
        <f>'4ovi'!G14</f>
        <v>16576993</v>
      </c>
    </row>
    <row r="35" spans="1:6" ht="12" customHeight="1" x14ac:dyDescent="0.2">
      <c r="A35" s="114"/>
      <c r="B35" s="115" t="s">
        <v>70</v>
      </c>
      <c r="C35" s="72" t="s">
        <v>31</v>
      </c>
      <c r="D35" s="73"/>
      <c r="E35" s="73"/>
      <c r="F35" s="73"/>
    </row>
    <row r="36" spans="1:6" ht="12" customHeight="1" thickBot="1" x14ac:dyDescent="0.25">
      <c r="A36" s="116"/>
      <c r="B36" s="96" t="s">
        <v>101</v>
      </c>
      <c r="C36" s="87" t="s">
        <v>102</v>
      </c>
      <c r="D36" s="79"/>
      <c r="E36" s="79"/>
      <c r="F36" s="79"/>
    </row>
    <row r="37" spans="1:6" ht="12" customHeight="1" thickBot="1" x14ac:dyDescent="0.25">
      <c r="A37" s="88" t="s">
        <v>24</v>
      </c>
      <c r="B37" s="110"/>
      <c r="C37" s="111" t="s">
        <v>114</v>
      </c>
      <c r="D37" s="82">
        <f>SUM(D38:D41)</f>
        <v>978000</v>
      </c>
      <c r="E37" s="82">
        <f>SUM(E38:E41)</f>
        <v>485000</v>
      </c>
      <c r="F37" s="82">
        <f>SUM(F38:F41)</f>
        <v>457769</v>
      </c>
    </row>
    <row r="38" spans="1:6" s="112" customFormat="1" ht="12" customHeight="1" x14ac:dyDescent="0.2">
      <c r="A38" s="113"/>
      <c r="B38" s="93" t="s">
        <v>76</v>
      </c>
      <c r="C38" s="85" t="s">
        <v>103</v>
      </c>
      <c r="D38" s="86"/>
      <c r="E38" s="86"/>
      <c r="F38" s="86"/>
    </row>
    <row r="39" spans="1:6" ht="12" customHeight="1" x14ac:dyDescent="0.2">
      <c r="A39" s="114"/>
      <c r="B39" s="115" t="s">
        <v>78</v>
      </c>
      <c r="C39" s="72" t="s">
        <v>104</v>
      </c>
      <c r="D39" s="73">
        <f>'4ovi'!E20</f>
        <v>978000</v>
      </c>
      <c r="E39" s="73">
        <f>'4ovi'!F20</f>
        <v>485000</v>
      </c>
      <c r="F39" s="73">
        <f>'4ovi'!G20</f>
        <v>457769</v>
      </c>
    </row>
    <row r="40" spans="1:6" ht="12" customHeight="1" x14ac:dyDescent="0.2">
      <c r="A40" s="114"/>
      <c r="B40" s="115" t="s">
        <v>105</v>
      </c>
      <c r="C40" s="72" t="s">
        <v>201</v>
      </c>
      <c r="D40" s="73"/>
      <c r="E40" s="73"/>
      <c r="F40" s="73"/>
    </row>
    <row r="41" spans="1:6" ht="12" customHeight="1" thickBot="1" x14ac:dyDescent="0.25">
      <c r="A41" s="114"/>
      <c r="B41" s="96" t="s">
        <v>106</v>
      </c>
      <c r="C41" s="87" t="s">
        <v>107</v>
      </c>
      <c r="D41" s="79"/>
      <c r="E41" s="79"/>
      <c r="F41" s="79"/>
    </row>
    <row r="42" spans="1:6" ht="12" customHeight="1" thickBot="1" x14ac:dyDescent="0.25">
      <c r="A42" s="68" t="s">
        <v>26</v>
      </c>
      <c r="B42" s="117"/>
      <c r="C42" s="111" t="s">
        <v>108</v>
      </c>
      <c r="D42" s="90"/>
      <c r="E42" s="90"/>
      <c r="F42" s="90"/>
    </row>
    <row r="43" spans="1:6" ht="12" customHeight="1" thickBot="1" x14ac:dyDescent="0.25">
      <c r="A43" s="88" t="s">
        <v>28</v>
      </c>
      <c r="B43" s="110"/>
      <c r="C43" s="111" t="s">
        <v>109</v>
      </c>
      <c r="D43" s="90"/>
      <c r="E43" s="90"/>
      <c r="F43" s="90"/>
    </row>
    <row r="44" spans="1:6" ht="15" customHeight="1" thickBot="1" x14ac:dyDescent="0.25">
      <c r="A44" s="88" t="s">
        <v>30</v>
      </c>
      <c r="B44" s="118"/>
      <c r="C44" s="119" t="s">
        <v>110</v>
      </c>
      <c r="D44" s="82">
        <f>+D31+D37+D42+D43</f>
        <v>50436648</v>
      </c>
      <c r="E44" s="82">
        <f>+E31+E37+E42+E43</f>
        <v>48066013</v>
      </c>
      <c r="F44" s="82">
        <f>+F31+F37+F42+F43</f>
        <v>47367241</v>
      </c>
    </row>
    <row r="45" spans="1:6" ht="13.5" thickBot="1" x14ac:dyDescent="0.25">
      <c r="A45" s="120"/>
      <c r="B45" s="121"/>
      <c r="C45" s="121"/>
      <c r="D45" s="122"/>
      <c r="E45" s="122"/>
      <c r="F45" s="122"/>
    </row>
    <row r="46" spans="1:6" ht="15" customHeight="1" thickBot="1" x14ac:dyDescent="0.25">
      <c r="A46" s="123" t="s">
        <v>111</v>
      </c>
      <c r="B46" s="124"/>
      <c r="C46" s="125"/>
      <c r="D46" s="126">
        <v>8</v>
      </c>
      <c r="E46" s="126">
        <v>8</v>
      </c>
      <c r="F46" s="126">
        <v>8</v>
      </c>
    </row>
    <row r="47" spans="1:6" ht="14.25" customHeight="1" thickBot="1" x14ac:dyDescent="0.25">
      <c r="A47" s="127" t="s">
        <v>112</v>
      </c>
      <c r="B47" s="128"/>
      <c r="C47" s="125"/>
      <c r="D47" s="129"/>
      <c r="E47" s="129"/>
      <c r="F47" s="129"/>
    </row>
    <row r="48" spans="1:6" ht="51" customHeight="1" x14ac:dyDescent="0.2">
      <c r="A48" s="795"/>
      <c r="B48" s="795"/>
      <c r="C48" s="795"/>
    </row>
  </sheetData>
  <sheetProtection formatCells="0"/>
  <mergeCells count="8">
    <mergeCell ref="A1:F1"/>
    <mergeCell ref="A30:F30"/>
    <mergeCell ref="A48:C48"/>
    <mergeCell ref="A3:B3"/>
    <mergeCell ref="A6:B6"/>
    <mergeCell ref="C8:D8"/>
    <mergeCell ref="C4:F4"/>
    <mergeCell ref="C3:F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10"/>
  <sheetViews>
    <sheetView view="pageBreakPreview" zoomScale="205" zoomScaleNormal="100" zoomScaleSheetLayoutView="205" workbookViewId="0">
      <selection sqref="A1:G1"/>
    </sheetView>
  </sheetViews>
  <sheetFormatPr defaultRowHeight="12.75" x14ac:dyDescent="0.2"/>
  <cols>
    <col min="1" max="1" width="28.140625" customWidth="1"/>
  </cols>
  <sheetData>
    <row r="1" spans="1:10" ht="27.75" customHeight="1" x14ac:dyDescent="0.2">
      <c r="A1" s="803" t="s">
        <v>675</v>
      </c>
      <c r="B1" s="803"/>
      <c r="C1" s="803"/>
      <c r="D1" s="803"/>
      <c r="E1" s="803"/>
      <c r="F1" s="803"/>
      <c r="G1" s="803"/>
      <c r="H1" s="161"/>
      <c r="I1" s="161"/>
      <c r="J1" s="161"/>
    </row>
    <row r="2" spans="1:10" ht="15.75" x14ac:dyDescent="0.2">
      <c r="A2" s="265"/>
      <c r="G2" s="412" t="s">
        <v>421</v>
      </c>
    </row>
    <row r="3" spans="1:10" ht="14.25" x14ac:dyDescent="0.2">
      <c r="A3" s="802" t="s">
        <v>10</v>
      </c>
      <c r="B3" s="802"/>
      <c r="C3" s="802"/>
      <c r="D3" s="802"/>
      <c r="E3" s="802"/>
      <c r="F3" s="802"/>
      <c r="G3" s="802"/>
    </row>
    <row r="4" spans="1:10" ht="14.25" x14ac:dyDescent="0.2">
      <c r="A4" s="802" t="s">
        <v>224</v>
      </c>
      <c r="B4" s="802"/>
      <c r="C4" s="802"/>
      <c r="D4" s="802"/>
      <c r="E4" s="802"/>
      <c r="F4" s="802"/>
      <c r="G4" s="802"/>
    </row>
    <row r="5" spans="1:10" ht="13.5" thickBot="1" x14ac:dyDescent="0.25">
      <c r="J5" s="270"/>
    </row>
    <row r="6" spans="1:10" ht="26.25" customHeight="1" thickBot="1" x14ac:dyDescent="0.25">
      <c r="A6" s="279" t="s">
        <v>189</v>
      </c>
      <c r="B6" s="376" t="s">
        <v>225</v>
      </c>
      <c r="C6" s="376" t="s">
        <v>226</v>
      </c>
      <c r="D6" s="376" t="s">
        <v>227</v>
      </c>
      <c r="E6" s="376" t="s">
        <v>358</v>
      </c>
      <c r="F6" s="281" t="s">
        <v>388</v>
      </c>
      <c r="G6" s="281" t="s">
        <v>127</v>
      </c>
    </row>
    <row r="7" spans="1:10" ht="40.5" customHeight="1" x14ac:dyDescent="0.2">
      <c r="A7" s="284" t="s">
        <v>228</v>
      </c>
      <c r="B7" s="277">
        <v>180</v>
      </c>
      <c r="C7" s="277">
        <v>185</v>
      </c>
      <c r="D7" s="277">
        <v>190</v>
      </c>
      <c r="E7" s="23">
        <v>195</v>
      </c>
      <c r="F7" s="285">
        <v>200</v>
      </c>
      <c r="G7" s="277">
        <f>SUM(B7:F7)</f>
        <v>950</v>
      </c>
    </row>
    <row r="8" spans="1:10" ht="40.5" customHeight="1" x14ac:dyDescent="0.2">
      <c r="A8" s="283" t="s">
        <v>229</v>
      </c>
      <c r="B8" s="277">
        <v>550</v>
      </c>
      <c r="C8" s="277">
        <v>560</v>
      </c>
      <c r="D8" s="277">
        <v>560</v>
      </c>
      <c r="E8" s="23">
        <v>570</v>
      </c>
      <c r="F8" s="285">
        <v>570</v>
      </c>
      <c r="G8" s="277">
        <f t="shared" ref="G8:G10" si="0">SUM(B8:F8)</f>
        <v>2810</v>
      </c>
    </row>
    <row r="9" spans="1:10" ht="40.5" customHeight="1" x14ac:dyDescent="0.2">
      <c r="A9" s="283" t="s">
        <v>230</v>
      </c>
      <c r="B9" s="277">
        <v>656</v>
      </c>
      <c r="C9" s="277">
        <v>656</v>
      </c>
      <c r="D9" s="277">
        <v>666</v>
      </c>
      <c r="E9" s="23">
        <v>666</v>
      </c>
      <c r="F9" s="285">
        <v>676</v>
      </c>
      <c r="G9" s="277">
        <f t="shared" si="0"/>
        <v>3320</v>
      </c>
    </row>
    <row r="10" spans="1:10" ht="40.5" customHeight="1" x14ac:dyDescent="0.2">
      <c r="A10" s="283" t="s">
        <v>231</v>
      </c>
      <c r="B10" s="277">
        <f t="shared" ref="B10:F10" si="1">SUM(B7:B9)</f>
        <v>1386</v>
      </c>
      <c r="C10" s="277">
        <f t="shared" si="1"/>
        <v>1401</v>
      </c>
      <c r="D10" s="277">
        <f t="shared" si="1"/>
        <v>1416</v>
      </c>
      <c r="E10" s="277">
        <f t="shared" si="1"/>
        <v>1431</v>
      </c>
      <c r="F10" s="277">
        <f t="shared" si="1"/>
        <v>1446</v>
      </c>
      <c r="G10" s="277">
        <f t="shared" si="0"/>
        <v>7080</v>
      </c>
    </row>
  </sheetData>
  <mergeCells count="3">
    <mergeCell ref="A4:G4"/>
    <mergeCell ref="A3:G3"/>
    <mergeCell ref="A1:G1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8"/>
  <sheetViews>
    <sheetView view="pageBreakPreview" zoomScale="60" zoomScaleNormal="100" workbookViewId="0">
      <selection sqref="A1:D1"/>
    </sheetView>
  </sheetViews>
  <sheetFormatPr defaultRowHeight="12.75" x14ac:dyDescent="0.2"/>
  <cols>
    <col min="1" max="1" width="51.7109375" style="12" customWidth="1"/>
    <col min="2" max="4" width="24" style="12" customWidth="1"/>
    <col min="5" max="16384" width="9.140625" style="12"/>
  </cols>
  <sheetData>
    <row r="1" spans="1:7" ht="44.25" customHeight="1" x14ac:dyDescent="0.2">
      <c r="A1" s="805" t="s">
        <v>675</v>
      </c>
      <c r="B1" s="805"/>
      <c r="C1" s="805"/>
      <c r="D1" s="805"/>
      <c r="E1" s="271"/>
      <c r="F1" s="271"/>
      <c r="G1" s="271"/>
    </row>
    <row r="2" spans="1:7" ht="18" x14ac:dyDescent="0.25">
      <c r="A2" s="408"/>
      <c r="B2" s="408"/>
      <c r="C2" s="408"/>
      <c r="D2" s="408" t="s">
        <v>422</v>
      </c>
    </row>
    <row r="3" spans="1:7" ht="18" x14ac:dyDescent="0.25">
      <c r="A3" s="11"/>
      <c r="B3" s="11"/>
      <c r="C3" s="11"/>
      <c r="D3" s="11"/>
    </row>
    <row r="4" spans="1:7" ht="18" x14ac:dyDescent="0.25">
      <c r="A4" s="804" t="s">
        <v>389</v>
      </c>
      <c r="B4" s="804"/>
      <c r="C4" s="804"/>
      <c r="D4" s="804"/>
    </row>
    <row r="5" spans="1:7" ht="18.75" thickBot="1" x14ac:dyDescent="0.3">
      <c r="A5" s="11"/>
      <c r="B5" s="11"/>
      <c r="C5" s="11"/>
      <c r="D5" s="14"/>
    </row>
    <row r="6" spans="1:7" ht="60.75" customHeight="1" x14ac:dyDescent="0.2">
      <c r="A6" s="217" t="s">
        <v>202</v>
      </c>
      <c r="B6" s="217" t="s">
        <v>203</v>
      </c>
      <c r="C6" s="218" t="s">
        <v>11</v>
      </c>
      <c r="D6" s="219" t="s">
        <v>12</v>
      </c>
      <c r="E6" s="13"/>
      <c r="F6" s="13"/>
      <c r="G6" s="13"/>
    </row>
    <row r="7" spans="1:7" ht="42" customHeight="1" x14ac:dyDescent="0.2">
      <c r="A7" s="220" t="s">
        <v>13</v>
      </c>
      <c r="B7" s="221">
        <v>2704</v>
      </c>
      <c r="C7" s="221">
        <v>338</v>
      </c>
      <c r="D7" s="222">
        <v>2366</v>
      </c>
      <c r="E7" s="13"/>
      <c r="F7" s="13"/>
      <c r="G7" s="13"/>
    </row>
    <row r="8" spans="1:7" ht="42" customHeight="1" thickBot="1" x14ac:dyDescent="0.25">
      <c r="A8" s="223" t="s">
        <v>14</v>
      </c>
      <c r="B8" s="224">
        <v>2704</v>
      </c>
      <c r="C8" s="224">
        <v>338</v>
      </c>
      <c r="D8" s="225">
        <v>2366</v>
      </c>
    </row>
  </sheetData>
  <mergeCells count="2">
    <mergeCell ref="A4:D4"/>
    <mergeCell ref="A1:D1"/>
  </mergeCells>
  <phoneticPr fontId="22" type="noConversion"/>
  <pageMargins left="0.75" right="0.75" top="1" bottom="1" header="0.5" footer="0.5"/>
  <pageSetup paperSize="9" scale="7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75"/>
  <sheetViews>
    <sheetView zoomScaleNormal="100" zoomScaleSheetLayoutView="85" workbookViewId="0">
      <selection sqref="A1:D1"/>
    </sheetView>
  </sheetViews>
  <sheetFormatPr defaultRowHeight="15" customHeight="1" x14ac:dyDescent="0.2"/>
  <cols>
    <col min="1" max="1" width="51.140625" style="162" customWidth="1"/>
    <col min="2" max="2" width="15" style="164" customWidth="1"/>
    <col min="3" max="4" width="15.42578125" style="164" customWidth="1"/>
    <col min="5" max="16384" width="9.140625" style="161"/>
  </cols>
  <sheetData>
    <row r="1" spans="1:5" ht="15" customHeight="1" x14ac:dyDescent="0.2">
      <c r="A1" s="636" t="s">
        <v>675</v>
      </c>
      <c r="B1" s="636"/>
      <c r="C1" s="636"/>
      <c r="D1" s="636"/>
    </row>
    <row r="2" spans="1:5" ht="15" customHeight="1" x14ac:dyDescent="0.2">
      <c r="A2" s="400"/>
      <c r="B2" s="400"/>
      <c r="C2" s="400"/>
      <c r="D2" s="400" t="s">
        <v>423</v>
      </c>
    </row>
    <row r="3" spans="1:5" ht="15" customHeight="1" x14ac:dyDescent="0.2">
      <c r="A3" s="635" t="s">
        <v>418</v>
      </c>
      <c r="B3" s="635"/>
      <c r="C3" s="635"/>
      <c r="D3" s="635"/>
    </row>
    <row r="4" spans="1:5" ht="15" customHeight="1" x14ac:dyDescent="0.2">
      <c r="A4" s="635"/>
      <c r="B4" s="635"/>
      <c r="C4" s="635"/>
      <c r="D4" s="635"/>
    </row>
    <row r="5" spans="1:5" ht="15" customHeight="1" x14ac:dyDescent="0.2">
      <c r="B5" s="163" t="s">
        <v>180</v>
      </c>
    </row>
    <row r="6" spans="1:5" ht="15" customHeight="1" thickBot="1" x14ac:dyDescent="0.25"/>
    <row r="7" spans="1:5" ht="44.25" customHeight="1" thickBot="1" x14ac:dyDescent="0.25">
      <c r="A7" s="212" t="s">
        <v>181</v>
      </c>
      <c r="B7" s="213" t="s">
        <v>127</v>
      </c>
      <c r="C7" s="213" t="s">
        <v>182</v>
      </c>
      <c r="D7" s="213" t="s">
        <v>183</v>
      </c>
    </row>
    <row r="8" spans="1:5" ht="34.5" customHeight="1" x14ac:dyDescent="0.2">
      <c r="A8" s="214" t="s">
        <v>185</v>
      </c>
      <c r="B8" s="216">
        <v>4</v>
      </c>
      <c r="C8" s="216">
        <v>1</v>
      </c>
      <c r="D8" s="216">
        <v>3</v>
      </c>
    </row>
    <row r="9" spans="1:5" ht="34.5" customHeight="1" x14ac:dyDescent="0.2">
      <c r="A9" s="214" t="s">
        <v>60</v>
      </c>
      <c r="B9" s="209">
        <v>8</v>
      </c>
      <c r="C9" s="209"/>
      <c r="D9" s="209">
        <v>8</v>
      </c>
    </row>
    <row r="10" spans="1:5" ht="34.5" customHeight="1" x14ac:dyDescent="0.2">
      <c r="A10" s="214" t="s">
        <v>186</v>
      </c>
      <c r="B10" s="209">
        <v>2</v>
      </c>
      <c r="C10" s="209"/>
      <c r="D10" s="209"/>
    </row>
    <row r="11" spans="1:5" ht="34.5" customHeight="1" thickBot="1" x14ac:dyDescent="0.25">
      <c r="A11" s="215" t="s">
        <v>187</v>
      </c>
      <c r="B11" s="210">
        <v>14</v>
      </c>
      <c r="C11" s="210">
        <f>SUM(C8:C9)</f>
        <v>1</v>
      </c>
      <c r="D11" s="210">
        <f>SUM(D8:D9)</f>
        <v>11</v>
      </c>
    </row>
    <row r="12" spans="1:5" ht="15" customHeight="1" x14ac:dyDescent="0.2">
      <c r="B12" s="165"/>
      <c r="C12" s="165"/>
      <c r="D12" s="165"/>
    </row>
    <row r="13" spans="1:5" s="167" customFormat="1" ht="35.25" customHeight="1" x14ac:dyDescent="0.2">
      <c r="A13" s="166"/>
      <c r="B13" s="165"/>
      <c r="C13" s="165"/>
      <c r="D13" s="165"/>
    </row>
    <row r="14" spans="1:5" ht="15" customHeight="1" x14ac:dyDescent="0.2">
      <c r="B14" s="168"/>
      <c r="C14" s="168"/>
      <c r="D14" s="168"/>
    </row>
    <row r="15" spans="1:5" ht="15" customHeight="1" x14ac:dyDescent="0.2">
      <c r="B15" s="168"/>
      <c r="C15" s="168"/>
      <c r="D15" s="168"/>
    </row>
    <row r="16" spans="1:5" ht="15" customHeight="1" x14ac:dyDescent="0.2">
      <c r="B16" s="165"/>
      <c r="C16" s="165"/>
      <c r="D16" s="165"/>
      <c r="E16" s="137"/>
    </row>
    <row r="17" spans="2:5" ht="15" customHeight="1" x14ac:dyDescent="0.2">
      <c r="B17" s="168"/>
      <c r="C17" s="168"/>
      <c r="D17" s="168"/>
      <c r="E17" s="137"/>
    </row>
    <row r="18" spans="2:5" ht="15" customHeight="1" x14ac:dyDescent="0.2">
      <c r="B18" s="165"/>
      <c r="C18" s="165"/>
      <c r="D18" s="165"/>
      <c r="E18" s="137"/>
    </row>
    <row r="19" spans="2:5" ht="15" customHeight="1" x14ac:dyDescent="0.2">
      <c r="B19" s="165"/>
      <c r="C19" s="165"/>
      <c r="D19" s="165"/>
      <c r="E19" s="137"/>
    </row>
    <row r="20" spans="2:5" ht="15" customHeight="1" x14ac:dyDescent="0.2">
      <c r="B20" s="165"/>
      <c r="C20" s="165"/>
      <c r="D20" s="165"/>
      <c r="E20" s="137"/>
    </row>
    <row r="21" spans="2:5" ht="15" customHeight="1" x14ac:dyDescent="0.2">
      <c r="B21" s="165"/>
      <c r="C21" s="165"/>
      <c r="D21" s="165"/>
      <c r="E21" s="137"/>
    </row>
    <row r="22" spans="2:5" ht="15" customHeight="1" x14ac:dyDescent="0.2">
      <c r="B22" s="165"/>
      <c r="C22" s="165"/>
      <c r="D22" s="165"/>
      <c r="E22" s="137"/>
    </row>
    <row r="23" spans="2:5" ht="15" customHeight="1" x14ac:dyDescent="0.2">
      <c r="B23" s="168"/>
      <c r="C23" s="168"/>
      <c r="D23" s="168"/>
      <c r="E23" s="137"/>
    </row>
    <row r="24" spans="2:5" ht="15" customHeight="1" x14ac:dyDescent="0.2">
      <c r="B24" s="168"/>
      <c r="C24" s="168"/>
      <c r="D24" s="168"/>
      <c r="E24" s="137"/>
    </row>
    <row r="25" spans="2:5" ht="15" customHeight="1" x14ac:dyDescent="0.2">
      <c r="B25" s="165"/>
      <c r="C25" s="165"/>
      <c r="D25" s="165"/>
      <c r="E25" s="137"/>
    </row>
    <row r="26" spans="2:5" ht="15" customHeight="1" x14ac:dyDescent="0.2">
      <c r="B26" s="168"/>
      <c r="C26" s="168"/>
      <c r="D26" s="168"/>
      <c r="E26" s="137"/>
    </row>
    <row r="27" spans="2:5" ht="15" customHeight="1" x14ac:dyDescent="0.2">
      <c r="B27" s="168"/>
      <c r="C27" s="168"/>
      <c r="D27" s="168"/>
      <c r="E27" s="137"/>
    </row>
    <row r="28" spans="2:5" ht="15" customHeight="1" x14ac:dyDescent="0.2">
      <c r="B28" s="168"/>
      <c r="C28" s="168"/>
      <c r="D28" s="168"/>
      <c r="E28" s="137"/>
    </row>
    <row r="29" spans="2:5" ht="15" customHeight="1" x14ac:dyDescent="0.2">
      <c r="B29" s="168"/>
      <c r="C29" s="168"/>
      <c r="D29" s="168"/>
      <c r="E29" s="137"/>
    </row>
    <row r="30" spans="2:5" ht="15" customHeight="1" x14ac:dyDescent="0.2">
      <c r="B30" s="168"/>
      <c r="C30" s="168"/>
      <c r="D30" s="168"/>
      <c r="E30" s="137"/>
    </row>
    <row r="31" spans="2:5" ht="15" customHeight="1" x14ac:dyDescent="0.2">
      <c r="B31" s="165"/>
      <c r="C31" s="165"/>
      <c r="D31" s="165"/>
      <c r="E31" s="137"/>
    </row>
    <row r="32" spans="2:5" ht="15" customHeight="1" x14ac:dyDescent="0.2">
      <c r="B32" s="165"/>
      <c r="C32" s="165"/>
      <c r="D32" s="165"/>
      <c r="E32" s="137"/>
    </row>
    <row r="33" spans="2:5" ht="15" customHeight="1" x14ac:dyDescent="0.2">
      <c r="B33" s="165"/>
      <c r="C33" s="165"/>
      <c r="D33" s="165"/>
      <c r="E33" s="137"/>
    </row>
    <row r="34" spans="2:5" ht="15" customHeight="1" x14ac:dyDescent="0.2">
      <c r="E34" s="137"/>
    </row>
    <row r="35" spans="2:5" ht="15" customHeight="1" x14ac:dyDescent="0.2">
      <c r="E35" s="137"/>
    </row>
    <row r="37" spans="2:5" ht="15" customHeight="1" x14ac:dyDescent="0.2">
      <c r="B37" s="163"/>
      <c r="C37" s="163"/>
      <c r="D37" s="163"/>
    </row>
    <row r="38" spans="2:5" ht="15" customHeight="1" x14ac:dyDescent="0.2">
      <c r="B38" s="163"/>
      <c r="C38" s="163"/>
      <c r="D38" s="163"/>
    </row>
    <row r="39" spans="2:5" ht="15" customHeight="1" x14ac:dyDescent="0.2">
      <c r="B39" s="163"/>
      <c r="C39" s="163"/>
      <c r="D39" s="163"/>
    </row>
    <row r="41" spans="2:5" ht="15" customHeight="1" x14ac:dyDescent="0.2">
      <c r="B41" s="163"/>
      <c r="C41" s="163"/>
      <c r="D41" s="163"/>
    </row>
    <row r="46" spans="2:5" ht="15" customHeight="1" x14ac:dyDescent="0.2">
      <c r="B46" s="163"/>
      <c r="C46" s="163"/>
      <c r="D46" s="163"/>
    </row>
    <row r="54" spans="2:4" ht="15" customHeight="1" x14ac:dyDescent="0.2">
      <c r="B54" s="163"/>
      <c r="C54" s="163"/>
      <c r="D54" s="163"/>
    </row>
    <row r="55" spans="2:4" ht="15" customHeight="1" x14ac:dyDescent="0.2">
      <c r="B55" s="163"/>
      <c r="C55" s="163"/>
      <c r="D55" s="163"/>
    </row>
    <row r="59" spans="2:4" ht="15" customHeight="1" x14ac:dyDescent="0.2">
      <c r="B59" s="163"/>
      <c r="C59" s="163"/>
      <c r="D59" s="163"/>
    </row>
    <row r="60" spans="2:4" ht="15" customHeight="1" x14ac:dyDescent="0.2">
      <c r="B60" s="163"/>
      <c r="C60" s="163"/>
      <c r="D60" s="163"/>
    </row>
    <row r="61" spans="2:4" ht="15" customHeight="1" x14ac:dyDescent="0.2">
      <c r="B61" s="163"/>
      <c r="C61" s="163"/>
      <c r="D61" s="163"/>
    </row>
    <row r="62" spans="2:4" ht="15" customHeight="1" x14ac:dyDescent="0.2">
      <c r="B62" s="163"/>
      <c r="C62" s="163"/>
      <c r="D62" s="163"/>
    </row>
    <row r="67" spans="2:4" ht="15" customHeight="1" x14ac:dyDescent="0.2">
      <c r="B67" s="163"/>
      <c r="C67" s="163"/>
      <c r="D67" s="163"/>
    </row>
    <row r="73" spans="2:4" ht="15" customHeight="1" x14ac:dyDescent="0.2">
      <c r="B73" s="163"/>
      <c r="C73" s="163"/>
      <c r="D73" s="163"/>
    </row>
    <row r="75" spans="2:4" ht="15" customHeight="1" x14ac:dyDescent="0.2">
      <c r="B75" s="163"/>
      <c r="C75" s="163"/>
      <c r="D75" s="163"/>
    </row>
  </sheetData>
  <mergeCells count="3">
    <mergeCell ref="A1:D1"/>
    <mergeCell ref="A4:D4"/>
    <mergeCell ref="A3:D3"/>
  </mergeCells>
  <phoneticPr fontId="0" type="noConversion"/>
  <printOptions horizontalCentered="1"/>
  <pageMargins left="0.59055118110236227" right="0.59055118110236227" top="0.78740157480314965" bottom="0.98425196850393704" header="0.39370078740157483" footer="0.59055118110236227"/>
  <pageSetup paperSize="9" scale="7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21"/>
  <sheetViews>
    <sheetView view="pageBreakPreview" zoomScale="130" zoomScaleNormal="100" zoomScaleSheetLayoutView="130" workbookViewId="0">
      <selection sqref="A1:C1"/>
    </sheetView>
  </sheetViews>
  <sheetFormatPr defaultRowHeight="12.75" x14ac:dyDescent="0.2"/>
  <cols>
    <col min="1" max="2" width="11.42578125" customWidth="1"/>
    <col min="3" max="3" width="44.7109375" customWidth="1"/>
  </cols>
  <sheetData>
    <row r="1" spans="1:5" ht="27.75" customHeight="1" x14ac:dyDescent="0.2">
      <c r="A1" s="806" t="s">
        <v>681</v>
      </c>
      <c r="B1" s="806"/>
      <c r="C1" s="806"/>
      <c r="D1" s="415"/>
      <c r="E1" s="415"/>
    </row>
    <row r="2" spans="1:5" ht="15.75" x14ac:dyDescent="0.2">
      <c r="A2" s="269"/>
    </row>
    <row r="3" spans="1:5" ht="15.75" x14ac:dyDescent="0.2">
      <c r="A3" s="760" t="s">
        <v>390</v>
      </c>
      <c r="B3" s="760"/>
      <c r="C3" s="760"/>
    </row>
    <row r="4" spans="1:5" ht="16.5" thickBot="1" x14ac:dyDescent="0.25">
      <c r="A4" s="265"/>
    </row>
    <row r="5" spans="1:5" ht="17.25" thickTop="1" thickBot="1" x14ac:dyDescent="0.3">
      <c r="A5" s="807" t="s">
        <v>232</v>
      </c>
      <c r="B5" s="807" t="s">
        <v>233</v>
      </c>
      <c r="C5" s="521" t="s">
        <v>431</v>
      </c>
    </row>
    <row r="6" spans="1:5" ht="17.25" thickTop="1" thickBot="1" x14ac:dyDescent="0.25">
      <c r="A6" s="808"/>
      <c r="B6" s="808"/>
      <c r="C6" s="286" t="s">
        <v>60</v>
      </c>
    </row>
    <row r="7" spans="1:5" ht="20.25" customHeight="1" thickBot="1" x14ac:dyDescent="0.25">
      <c r="A7" s="287" t="s">
        <v>22</v>
      </c>
      <c r="B7" s="288" t="s">
        <v>234</v>
      </c>
      <c r="C7" s="395">
        <f>C$19/12</f>
        <v>3094197.9166666665</v>
      </c>
    </row>
    <row r="8" spans="1:5" ht="20.25" customHeight="1" thickBot="1" x14ac:dyDescent="0.25">
      <c r="A8" s="287" t="s">
        <v>24</v>
      </c>
      <c r="B8" s="288" t="s">
        <v>235</v>
      </c>
      <c r="C8" s="395">
        <f t="shared" ref="C8:C18" si="0">C$19/12</f>
        <v>3094197.9166666665</v>
      </c>
    </row>
    <row r="9" spans="1:5" ht="20.25" customHeight="1" thickBot="1" x14ac:dyDescent="0.25">
      <c r="A9" s="287" t="s">
        <v>26</v>
      </c>
      <c r="B9" s="288" t="s">
        <v>236</v>
      </c>
      <c r="C9" s="395">
        <f t="shared" si="0"/>
        <v>3094197.9166666665</v>
      </c>
    </row>
    <row r="10" spans="1:5" ht="20.25" customHeight="1" thickBot="1" x14ac:dyDescent="0.25">
      <c r="A10" s="287" t="s">
        <v>28</v>
      </c>
      <c r="B10" s="288" t="s">
        <v>237</v>
      </c>
      <c r="C10" s="395">
        <f t="shared" si="0"/>
        <v>3094197.9166666665</v>
      </c>
    </row>
    <row r="11" spans="1:5" ht="20.25" customHeight="1" thickBot="1" x14ac:dyDescent="0.25">
      <c r="A11" s="287" t="s">
        <v>30</v>
      </c>
      <c r="B11" s="288" t="s">
        <v>238</v>
      </c>
      <c r="C11" s="395">
        <f t="shared" si="0"/>
        <v>3094197.9166666665</v>
      </c>
    </row>
    <row r="12" spans="1:5" ht="20.25" customHeight="1" thickBot="1" x14ac:dyDescent="0.25">
      <c r="A12" s="287" t="s">
        <v>91</v>
      </c>
      <c r="B12" s="288" t="s">
        <v>239</v>
      </c>
      <c r="C12" s="395">
        <f t="shared" si="0"/>
        <v>3094197.9166666665</v>
      </c>
    </row>
    <row r="13" spans="1:5" ht="20.25" customHeight="1" thickBot="1" x14ac:dyDescent="0.25">
      <c r="A13" s="287" t="s">
        <v>93</v>
      </c>
      <c r="B13" s="288" t="s">
        <v>240</v>
      </c>
      <c r="C13" s="395">
        <f t="shared" si="0"/>
        <v>3094197.9166666665</v>
      </c>
    </row>
    <row r="14" spans="1:5" ht="20.25" customHeight="1" thickBot="1" x14ac:dyDescent="0.25">
      <c r="A14" s="287" t="s">
        <v>95</v>
      </c>
      <c r="B14" s="288" t="s">
        <v>241</v>
      </c>
      <c r="C14" s="395">
        <f t="shared" si="0"/>
        <v>3094197.9166666665</v>
      </c>
    </row>
    <row r="15" spans="1:5" ht="20.25" customHeight="1" thickBot="1" x14ac:dyDescent="0.25">
      <c r="A15" s="287" t="s">
        <v>242</v>
      </c>
      <c r="B15" s="288" t="s">
        <v>243</v>
      </c>
      <c r="C15" s="395">
        <f t="shared" si="0"/>
        <v>3094197.9166666665</v>
      </c>
    </row>
    <row r="16" spans="1:5" ht="20.25" customHeight="1" thickBot="1" x14ac:dyDescent="0.25">
      <c r="A16" s="287" t="s">
        <v>244</v>
      </c>
      <c r="B16" s="288" t="s">
        <v>245</v>
      </c>
      <c r="C16" s="395">
        <f t="shared" si="0"/>
        <v>3094197.9166666665</v>
      </c>
    </row>
    <row r="17" spans="1:3" ht="20.25" customHeight="1" thickBot="1" x14ac:dyDescent="0.25">
      <c r="A17" s="287" t="s">
        <v>246</v>
      </c>
      <c r="B17" s="288" t="s">
        <v>247</v>
      </c>
      <c r="C17" s="395">
        <f t="shared" si="0"/>
        <v>3094197.9166666665</v>
      </c>
    </row>
    <row r="18" spans="1:3" ht="20.25" customHeight="1" thickBot="1" x14ac:dyDescent="0.25">
      <c r="A18" s="287" t="s">
        <v>248</v>
      </c>
      <c r="B18" s="288" t="s">
        <v>249</v>
      </c>
      <c r="C18" s="395">
        <f t="shared" si="0"/>
        <v>3094197.9166666665</v>
      </c>
    </row>
    <row r="19" spans="1:3" ht="20.25" customHeight="1" thickBot="1" x14ac:dyDescent="0.25">
      <c r="A19" s="289" t="s">
        <v>2</v>
      </c>
      <c r="B19" s="290"/>
      <c r="C19" s="291">
        <v>37130375</v>
      </c>
    </row>
    <row r="20" spans="1:3" ht="19.5" thickTop="1" x14ac:dyDescent="0.2">
      <c r="A20" s="292"/>
    </row>
    <row r="21" spans="1:3" x14ac:dyDescent="0.2">
      <c r="A21" s="268"/>
    </row>
  </sheetData>
  <mergeCells count="4">
    <mergeCell ref="A3:C3"/>
    <mergeCell ref="A1:C1"/>
    <mergeCell ref="A5:A6"/>
    <mergeCell ref="B5:B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69"/>
  <sheetViews>
    <sheetView zoomScaleNormal="100" workbookViewId="0">
      <selection sqref="A1:D1"/>
    </sheetView>
  </sheetViews>
  <sheetFormatPr defaultRowHeight="12.75" x14ac:dyDescent="0.2"/>
  <cols>
    <col min="1" max="1" width="11.28515625" customWidth="1"/>
    <col min="2" max="2" width="61.5703125" customWidth="1"/>
    <col min="3" max="3" width="12" customWidth="1"/>
    <col min="4" max="4" width="14" customWidth="1"/>
  </cols>
  <sheetData>
    <row r="1" spans="1:4" x14ac:dyDescent="0.2">
      <c r="A1" s="809" t="s">
        <v>682</v>
      </c>
      <c r="B1" s="809"/>
      <c r="C1" s="809"/>
      <c r="D1" s="809"/>
    </row>
    <row r="2" spans="1:4" x14ac:dyDescent="0.2">
      <c r="A2" s="810" t="s">
        <v>545</v>
      </c>
      <c r="B2" s="810"/>
      <c r="C2" s="810"/>
      <c r="D2" s="810"/>
    </row>
    <row r="3" spans="1:4" x14ac:dyDescent="0.2">
      <c r="A3" s="590"/>
      <c r="B3" s="590"/>
      <c r="C3" s="811" t="s">
        <v>546</v>
      </c>
      <c r="D3" s="811"/>
    </row>
    <row r="4" spans="1:4" x14ac:dyDescent="0.2">
      <c r="A4" s="590"/>
      <c r="B4" s="590"/>
      <c r="C4" s="590"/>
      <c r="D4" s="591" t="s">
        <v>632</v>
      </c>
    </row>
    <row r="5" spans="1:4" ht="15.75" x14ac:dyDescent="0.2">
      <c r="A5" s="812" t="s">
        <v>467</v>
      </c>
      <c r="B5" s="813"/>
      <c r="C5" s="813"/>
      <c r="D5" s="814"/>
    </row>
    <row r="6" spans="1:4" ht="30" x14ac:dyDescent="0.2">
      <c r="A6" s="592" t="s">
        <v>468</v>
      </c>
      <c r="B6" s="592" t="s">
        <v>16</v>
      </c>
      <c r="C6" s="592" t="s">
        <v>469</v>
      </c>
      <c r="D6" s="592" t="s">
        <v>471</v>
      </c>
    </row>
    <row r="7" spans="1:4" ht="15" x14ac:dyDescent="0.2">
      <c r="A7" s="592">
        <v>1</v>
      </c>
      <c r="B7" s="592">
        <v>2</v>
      </c>
      <c r="C7" s="592">
        <v>3</v>
      </c>
      <c r="D7" s="592">
        <v>5</v>
      </c>
    </row>
    <row r="8" spans="1:4" x14ac:dyDescent="0.2">
      <c r="A8" s="593" t="s">
        <v>472</v>
      </c>
      <c r="B8" s="594" t="s">
        <v>473</v>
      </c>
      <c r="C8" s="595">
        <v>3061762</v>
      </c>
      <c r="D8" s="595">
        <v>1613577</v>
      </c>
    </row>
    <row r="9" spans="1:4" x14ac:dyDescent="0.2">
      <c r="A9" s="596" t="s">
        <v>474</v>
      </c>
      <c r="B9" s="597" t="s">
        <v>475</v>
      </c>
      <c r="C9" s="598">
        <f>C8</f>
        <v>3061762</v>
      </c>
      <c r="D9" s="598">
        <f>D8</f>
        <v>1613577</v>
      </c>
    </row>
    <row r="10" spans="1:4" x14ac:dyDescent="0.2">
      <c r="A10" s="593" t="s">
        <v>476</v>
      </c>
      <c r="B10" s="594" t="s">
        <v>477</v>
      </c>
      <c r="C10" s="595">
        <v>477060971</v>
      </c>
      <c r="D10" s="595">
        <v>501103153</v>
      </c>
    </row>
    <row r="11" spans="1:4" x14ac:dyDescent="0.2">
      <c r="A11" s="593" t="s">
        <v>478</v>
      </c>
      <c r="B11" s="594" t="s">
        <v>479</v>
      </c>
      <c r="C11" s="595">
        <v>3386694</v>
      </c>
      <c r="D11" s="595">
        <v>2407817</v>
      </c>
    </row>
    <row r="12" spans="1:4" x14ac:dyDescent="0.2">
      <c r="A12" s="593" t="s">
        <v>480</v>
      </c>
      <c r="B12" s="594" t="s">
        <v>481</v>
      </c>
      <c r="C12" s="595">
        <v>0</v>
      </c>
      <c r="D12" s="595">
        <v>406400</v>
      </c>
    </row>
    <row r="13" spans="1:4" x14ac:dyDescent="0.2">
      <c r="A13" s="596" t="s">
        <v>482</v>
      </c>
      <c r="B13" s="597" t="s">
        <v>483</v>
      </c>
      <c r="C13" s="598">
        <f>SUM(C10:C12)</f>
        <v>480447665</v>
      </c>
      <c r="D13" s="598">
        <f>SUM(D10:D12)</f>
        <v>503917370</v>
      </c>
    </row>
    <row r="14" spans="1:4" x14ac:dyDescent="0.2">
      <c r="A14" s="593" t="s">
        <v>484</v>
      </c>
      <c r="B14" s="594" t="s">
        <v>485</v>
      </c>
      <c r="C14" s="595">
        <v>110000</v>
      </c>
      <c r="D14" s="595">
        <v>110000</v>
      </c>
    </row>
    <row r="15" spans="1:4" x14ac:dyDescent="0.2">
      <c r="A15" s="593">
        <v>16</v>
      </c>
      <c r="B15" s="594" t="s">
        <v>659</v>
      </c>
      <c r="C15" s="595">
        <v>110000</v>
      </c>
      <c r="D15" s="595">
        <v>110000</v>
      </c>
    </row>
    <row r="16" spans="1:4" x14ac:dyDescent="0.2">
      <c r="A16" s="596" t="s">
        <v>487</v>
      </c>
      <c r="B16" s="597" t="s">
        <v>488</v>
      </c>
      <c r="C16" s="598">
        <f>SUM(C15)</f>
        <v>110000</v>
      </c>
      <c r="D16" s="598">
        <f>SUM(D15)</f>
        <v>110000</v>
      </c>
    </row>
    <row r="17" spans="1:4" s="588" customFormat="1" x14ac:dyDescent="0.2">
      <c r="A17" s="593">
        <v>22</v>
      </c>
      <c r="B17" s="594" t="s">
        <v>660</v>
      </c>
      <c r="C17" s="595">
        <v>280366879</v>
      </c>
      <c r="D17" s="595">
        <v>264633531</v>
      </c>
    </row>
    <row r="18" spans="1:4" s="588" customFormat="1" x14ac:dyDescent="0.2">
      <c r="A18" s="593">
        <v>24</v>
      </c>
      <c r="B18" s="594" t="s">
        <v>661</v>
      </c>
      <c r="C18" s="595">
        <v>280366879</v>
      </c>
      <c r="D18" s="595">
        <v>264633531</v>
      </c>
    </row>
    <row r="19" spans="1:4" s="625" customFormat="1" x14ac:dyDescent="0.2">
      <c r="A19" s="596">
        <v>27</v>
      </c>
      <c r="B19" s="597" t="s">
        <v>662</v>
      </c>
      <c r="C19" s="598">
        <f>SUM(C18)</f>
        <v>280366879</v>
      </c>
      <c r="D19" s="598">
        <f>SUM(D18)</f>
        <v>264633531</v>
      </c>
    </row>
    <row r="20" spans="1:4" ht="25.5" x14ac:dyDescent="0.2">
      <c r="A20" s="596" t="s">
        <v>489</v>
      </c>
      <c r="B20" s="597" t="s">
        <v>490</v>
      </c>
      <c r="C20" s="598">
        <f>C9+C13+C16+C19</f>
        <v>763986306</v>
      </c>
      <c r="D20" s="598">
        <f>D9+D13+D16+D19</f>
        <v>770274478</v>
      </c>
    </row>
    <row r="21" spans="1:4" s="588" customFormat="1" x14ac:dyDescent="0.2">
      <c r="A21" s="593">
        <v>29</v>
      </c>
      <c r="B21" s="594" t="s">
        <v>646</v>
      </c>
      <c r="C21" s="595">
        <v>750000</v>
      </c>
      <c r="D21" s="595">
        <v>0</v>
      </c>
    </row>
    <row r="22" spans="1:4" x14ac:dyDescent="0.2">
      <c r="A22" s="596">
        <v>34</v>
      </c>
      <c r="B22" s="597" t="s">
        <v>647</v>
      </c>
      <c r="C22" s="598">
        <v>750000</v>
      </c>
      <c r="D22" s="598">
        <v>0</v>
      </c>
    </row>
    <row r="23" spans="1:4" x14ac:dyDescent="0.2">
      <c r="A23" s="596">
        <v>43</v>
      </c>
      <c r="B23" s="597" t="s">
        <v>648</v>
      </c>
      <c r="C23" s="598">
        <v>750000</v>
      </c>
      <c r="D23" s="598">
        <v>0</v>
      </c>
    </row>
    <row r="24" spans="1:4" x14ac:dyDescent="0.2">
      <c r="A24" s="593" t="s">
        <v>491</v>
      </c>
      <c r="B24" s="594" t="s">
        <v>492</v>
      </c>
      <c r="C24" s="595">
        <v>43170</v>
      </c>
      <c r="D24" s="595">
        <v>27445</v>
      </c>
    </row>
    <row r="25" spans="1:4" x14ac:dyDescent="0.2">
      <c r="A25" s="596" t="s">
        <v>493</v>
      </c>
      <c r="B25" s="597" t="s">
        <v>494</v>
      </c>
      <c r="C25" s="598">
        <f>SUM(C24)</f>
        <v>43170</v>
      </c>
      <c r="D25" s="598">
        <f t="shared" ref="D25" si="0">SUM(D24)</f>
        <v>27445</v>
      </c>
    </row>
    <row r="26" spans="1:4" x14ac:dyDescent="0.2">
      <c r="A26" s="593" t="s">
        <v>495</v>
      </c>
      <c r="B26" s="594" t="s">
        <v>496</v>
      </c>
      <c r="C26" s="595">
        <v>25250375</v>
      </c>
      <c r="D26" s="595">
        <v>11265585</v>
      </c>
    </row>
    <row r="27" spans="1:4" x14ac:dyDescent="0.2">
      <c r="A27" s="596" t="s">
        <v>497</v>
      </c>
      <c r="B27" s="597" t="s">
        <v>498</v>
      </c>
      <c r="C27" s="598">
        <f>SUM(C26)</f>
        <v>25250375</v>
      </c>
      <c r="D27" s="598">
        <f>SUM(D26)</f>
        <v>11265585</v>
      </c>
    </row>
    <row r="28" spans="1:4" x14ac:dyDescent="0.2">
      <c r="A28" s="596" t="s">
        <v>499</v>
      </c>
      <c r="B28" s="597" t="s">
        <v>500</v>
      </c>
      <c r="C28" s="598">
        <f>C25+C27</f>
        <v>25293545</v>
      </c>
      <c r="D28" s="598">
        <f>D25+D27</f>
        <v>11293030</v>
      </c>
    </row>
    <row r="29" spans="1:4" ht="25.5" x14ac:dyDescent="0.2">
      <c r="A29" s="593" t="s">
        <v>501</v>
      </c>
      <c r="B29" s="594" t="s">
        <v>502</v>
      </c>
      <c r="C29" s="595">
        <v>12952562</v>
      </c>
      <c r="D29" s="595">
        <v>14167291</v>
      </c>
    </row>
    <row r="30" spans="1:4" ht="25.5" x14ac:dyDescent="0.2">
      <c r="A30" s="593" t="s">
        <v>503</v>
      </c>
      <c r="B30" s="594" t="s">
        <v>504</v>
      </c>
      <c r="C30" s="595">
        <v>6371381</v>
      </c>
      <c r="D30" s="595">
        <v>11669260</v>
      </c>
    </row>
    <row r="31" spans="1:4" ht="25.5" x14ac:dyDescent="0.2">
      <c r="A31" s="593" t="s">
        <v>505</v>
      </c>
      <c r="B31" s="594" t="s">
        <v>506</v>
      </c>
      <c r="C31" s="595">
        <v>3012427</v>
      </c>
      <c r="D31" s="595">
        <v>681037</v>
      </c>
    </row>
    <row r="32" spans="1:4" ht="25.5" x14ac:dyDescent="0.2">
      <c r="A32" s="593" t="s">
        <v>507</v>
      </c>
      <c r="B32" s="594" t="s">
        <v>508</v>
      </c>
      <c r="C32" s="595">
        <v>3565754</v>
      </c>
      <c r="D32" s="595">
        <v>1816994</v>
      </c>
    </row>
    <row r="33" spans="1:4" ht="25.5" x14ac:dyDescent="0.2">
      <c r="A33" s="593" t="s">
        <v>509</v>
      </c>
      <c r="B33" s="594" t="s">
        <v>510</v>
      </c>
      <c r="C33" s="595">
        <v>0</v>
      </c>
      <c r="D33" s="595">
        <v>3819405</v>
      </c>
    </row>
    <row r="34" spans="1:4" ht="25.5" x14ac:dyDescent="0.2">
      <c r="A34" s="593" t="s">
        <v>511</v>
      </c>
      <c r="B34" s="594" t="s">
        <v>512</v>
      </c>
      <c r="C34" s="595">
        <v>0</v>
      </c>
      <c r="D34" s="595">
        <v>3819405</v>
      </c>
    </row>
    <row r="35" spans="1:4" ht="25.5" x14ac:dyDescent="0.2">
      <c r="A35" s="593">
        <v>89</v>
      </c>
      <c r="B35" s="594" t="s">
        <v>663</v>
      </c>
      <c r="C35" s="595">
        <v>43070</v>
      </c>
      <c r="D35" s="595">
        <v>0</v>
      </c>
    </row>
    <row r="36" spans="1:4" ht="38.25" x14ac:dyDescent="0.2">
      <c r="A36" s="593">
        <v>92</v>
      </c>
      <c r="B36" s="594" t="s">
        <v>664</v>
      </c>
      <c r="C36" s="595">
        <v>43070</v>
      </c>
      <c r="D36" s="595">
        <v>0</v>
      </c>
    </row>
    <row r="37" spans="1:4" x14ac:dyDescent="0.2">
      <c r="A37" s="596" t="s">
        <v>513</v>
      </c>
      <c r="B37" s="597" t="s">
        <v>514</v>
      </c>
      <c r="C37" s="598">
        <v>12995632</v>
      </c>
      <c r="D37" s="598">
        <v>17986696</v>
      </c>
    </row>
    <row r="38" spans="1:4" s="588" customFormat="1" ht="25.5" x14ac:dyDescent="0.2">
      <c r="A38" s="593">
        <v>129</v>
      </c>
      <c r="B38" s="594" t="s">
        <v>665</v>
      </c>
      <c r="C38" s="595">
        <v>0</v>
      </c>
      <c r="D38" s="595">
        <v>97500</v>
      </c>
    </row>
    <row r="39" spans="1:4" ht="38.25" x14ac:dyDescent="0.2">
      <c r="A39" s="596">
        <v>132</v>
      </c>
      <c r="B39" s="594" t="s">
        <v>666</v>
      </c>
      <c r="C39" s="598">
        <v>0</v>
      </c>
      <c r="D39" s="595">
        <v>97500</v>
      </c>
    </row>
    <row r="40" spans="1:4" s="625" customFormat="1" x14ac:dyDescent="0.2">
      <c r="A40" s="596">
        <v>142</v>
      </c>
      <c r="B40" s="597" t="s">
        <v>667</v>
      </c>
      <c r="C40" s="598">
        <v>0</v>
      </c>
      <c r="D40" s="598">
        <v>97500</v>
      </c>
    </row>
    <row r="41" spans="1:4" x14ac:dyDescent="0.2">
      <c r="A41" s="593" t="s">
        <v>515</v>
      </c>
      <c r="B41" s="594" t="s">
        <v>516</v>
      </c>
      <c r="C41" s="595">
        <v>300001</v>
      </c>
      <c r="D41" s="595">
        <v>300000</v>
      </c>
    </row>
    <row r="42" spans="1:4" x14ac:dyDescent="0.2">
      <c r="A42" s="593" t="s">
        <v>517</v>
      </c>
      <c r="B42" s="594" t="s">
        <v>518</v>
      </c>
      <c r="C42" s="595">
        <v>300000</v>
      </c>
      <c r="D42" s="595">
        <v>300000</v>
      </c>
    </row>
    <row r="43" spans="1:4" x14ac:dyDescent="0.2">
      <c r="A43" s="593">
        <v>149</v>
      </c>
      <c r="B43" s="594" t="s">
        <v>519</v>
      </c>
      <c r="C43" s="595">
        <v>1</v>
      </c>
      <c r="D43" s="595">
        <v>0</v>
      </c>
    </row>
    <row r="44" spans="1:4" x14ac:dyDescent="0.2">
      <c r="A44" s="593">
        <v>152</v>
      </c>
      <c r="B44" s="594" t="s">
        <v>520</v>
      </c>
      <c r="C44" s="595">
        <v>50000</v>
      </c>
      <c r="D44" s="595">
        <v>26000</v>
      </c>
    </row>
    <row r="45" spans="1:4" x14ac:dyDescent="0.2">
      <c r="A45" s="596" t="s">
        <v>521</v>
      </c>
      <c r="B45" s="597" t="s">
        <v>522</v>
      </c>
      <c r="C45" s="598">
        <f>SUM(C42:C44)</f>
        <v>350001</v>
      </c>
      <c r="D45" s="598">
        <f>SUM(D42:D44)</f>
        <v>326000</v>
      </c>
    </row>
    <row r="46" spans="1:4" x14ac:dyDescent="0.2">
      <c r="A46" s="596" t="s">
        <v>523</v>
      </c>
      <c r="B46" s="597" t="s">
        <v>524</v>
      </c>
      <c r="C46" s="598">
        <v>13345633</v>
      </c>
      <c r="D46" s="598">
        <v>18410196</v>
      </c>
    </row>
    <row r="47" spans="1:4" x14ac:dyDescent="0.2">
      <c r="A47" s="596">
        <v>171</v>
      </c>
      <c r="B47" s="597" t="s">
        <v>525</v>
      </c>
      <c r="C47" s="598">
        <v>0</v>
      </c>
      <c r="D47" s="598">
        <v>0</v>
      </c>
    </row>
    <row r="48" spans="1:4" x14ac:dyDescent="0.2">
      <c r="A48" s="596">
        <v>176</v>
      </c>
      <c r="B48" s="597" t="s">
        <v>526</v>
      </c>
      <c r="C48" s="598">
        <f>C20+C23+C28+C46+C47</f>
        <v>803375484</v>
      </c>
      <c r="D48" s="598">
        <f>D20+D23+D28+D46+D47</f>
        <v>799977704</v>
      </c>
    </row>
    <row r="49" spans="1:4" x14ac:dyDescent="0.2">
      <c r="A49" s="593">
        <v>177</v>
      </c>
      <c r="B49" s="594" t="s">
        <v>527</v>
      </c>
      <c r="C49" s="595">
        <v>992042972</v>
      </c>
      <c r="D49" s="595">
        <v>992042972</v>
      </c>
    </row>
    <row r="50" spans="1:4" x14ac:dyDescent="0.2">
      <c r="A50" s="593">
        <v>178</v>
      </c>
      <c r="B50" s="594" t="s">
        <v>528</v>
      </c>
      <c r="C50" s="595">
        <v>0</v>
      </c>
      <c r="D50" s="595">
        <v>0</v>
      </c>
    </row>
    <row r="51" spans="1:4" s="588" customFormat="1" x14ac:dyDescent="0.2">
      <c r="A51" s="593">
        <v>179</v>
      </c>
      <c r="B51" s="594" t="s">
        <v>668</v>
      </c>
      <c r="C51" s="595">
        <v>2947675</v>
      </c>
      <c r="D51" s="595">
        <v>2947675</v>
      </c>
    </row>
    <row r="52" spans="1:4" x14ac:dyDescent="0.2">
      <c r="A52" s="593">
        <v>180</v>
      </c>
      <c r="B52" s="594" t="s">
        <v>529</v>
      </c>
      <c r="C52" s="595">
        <v>-282862155</v>
      </c>
      <c r="D52" s="595">
        <v>-290277575</v>
      </c>
    </row>
    <row r="53" spans="1:4" x14ac:dyDescent="0.2">
      <c r="A53" s="593">
        <v>182</v>
      </c>
      <c r="B53" s="594" t="s">
        <v>530</v>
      </c>
      <c r="C53" s="595">
        <v>-7593350</v>
      </c>
      <c r="D53" s="595">
        <v>85905998</v>
      </c>
    </row>
    <row r="54" spans="1:4" x14ac:dyDescent="0.2">
      <c r="A54" s="596">
        <v>183</v>
      </c>
      <c r="B54" s="597" t="s">
        <v>531</v>
      </c>
      <c r="C54" s="598">
        <f>C49+C51+C52+C53</f>
        <v>704535142</v>
      </c>
      <c r="D54" s="598">
        <f>D49+D51+D52+D53</f>
        <v>790619070</v>
      </c>
    </row>
    <row r="55" spans="1:4" x14ac:dyDescent="0.2">
      <c r="A55" s="593">
        <v>186</v>
      </c>
      <c r="B55" s="594" t="s">
        <v>532</v>
      </c>
      <c r="C55" s="595">
        <v>40000</v>
      </c>
      <c r="D55" s="595">
        <v>1574800</v>
      </c>
    </row>
    <row r="56" spans="1:4" ht="25.5" x14ac:dyDescent="0.2">
      <c r="A56" s="593">
        <v>187</v>
      </c>
      <c r="B56" s="594" t="s">
        <v>669</v>
      </c>
      <c r="C56" s="595">
        <v>3000</v>
      </c>
      <c r="D56" s="595">
        <v>0</v>
      </c>
    </row>
    <row r="57" spans="1:4" x14ac:dyDescent="0.2">
      <c r="A57" s="593">
        <v>192</v>
      </c>
      <c r="B57" s="594" t="s">
        <v>670</v>
      </c>
      <c r="C57" s="595">
        <v>0</v>
      </c>
      <c r="D57" s="595">
        <v>406400</v>
      </c>
    </row>
    <row r="58" spans="1:4" ht="25.5" x14ac:dyDescent="0.2">
      <c r="A58" s="596">
        <v>209</v>
      </c>
      <c r="B58" s="597" t="s">
        <v>533</v>
      </c>
      <c r="C58" s="598">
        <f>SUM(C55:C57)</f>
        <v>43000</v>
      </c>
      <c r="D58" s="598">
        <f>SUM(D55:D57)</f>
        <v>1981200</v>
      </c>
    </row>
    <row r="59" spans="1:4" ht="25.5" x14ac:dyDescent="0.2">
      <c r="A59" s="593">
        <v>222</v>
      </c>
      <c r="B59" s="594" t="s">
        <v>534</v>
      </c>
      <c r="C59" s="595">
        <v>2447881</v>
      </c>
      <c r="D59" s="595">
        <v>2568618</v>
      </c>
    </row>
    <row r="60" spans="1:4" ht="25.5" x14ac:dyDescent="0.2">
      <c r="A60" s="593">
        <v>227</v>
      </c>
      <c r="B60" s="594" t="s">
        <v>535</v>
      </c>
      <c r="C60" s="595">
        <v>2447881</v>
      </c>
      <c r="D60" s="595">
        <v>2568618</v>
      </c>
    </row>
    <row r="61" spans="1:4" ht="25.5" x14ac:dyDescent="0.2">
      <c r="A61" s="596">
        <v>233</v>
      </c>
      <c r="B61" s="597" t="s">
        <v>536</v>
      </c>
      <c r="C61" s="598">
        <f>SUM(C60)</f>
        <v>2447881</v>
      </c>
      <c r="D61" s="598">
        <f>SUM(D60)</f>
        <v>2568618</v>
      </c>
    </row>
    <row r="62" spans="1:4" x14ac:dyDescent="0.2">
      <c r="A62" s="593">
        <v>234</v>
      </c>
      <c r="B62" s="594" t="s">
        <v>537</v>
      </c>
      <c r="C62" s="595">
        <v>2009884</v>
      </c>
      <c r="D62" s="595">
        <v>3261439</v>
      </c>
    </row>
    <row r="63" spans="1:4" x14ac:dyDescent="0.2">
      <c r="A63" s="593">
        <v>236</v>
      </c>
      <c r="B63" s="594" t="s">
        <v>538</v>
      </c>
      <c r="C63" s="595">
        <v>128429</v>
      </c>
      <c r="D63" s="595">
        <v>251464</v>
      </c>
    </row>
    <row r="64" spans="1:4" ht="25.5" x14ac:dyDescent="0.2">
      <c r="A64" s="596">
        <v>243</v>
      </c>
      <c r="B64" s="597" t="s">
        <v>539</v>
      </c>
      <c r="C64" s="598">
        <f>SUM(C62:C63)</f>
        <v>2138313</v>
      </c>
      <c r="D64" s="598">
        <f>SUM(D62:D63)</f>
        <v>3512903</v>
      </c>
    </row>
    <row r="65" spans="1:4" x14ac:dyDescent="0.2">
      <c r="A65" s="596">
        <v>244</v>
      </c>
      <c r="B65" s="597" t="s">
        <v>540</v>
      </c>
      <c r="C65" s="598">
        <f>C58+C61+C64</f>
        <v>4629194</v>
      </c>
      <c r="D65" s="598">
        <f>D58+D61+D64</f>
        <v>8062721</v>
      </c>
    </row>
    <row r="66" spans="1:4" x14ac:dyDescent="0.2">
      <c r="A66" s="593">
        <v>247</v>
      </c>
      <c r="B66" s="594" t="s">
        <v>541</v>
      </c>
      <c r="C66" s="595">
        <v>1094782</v>
      </c>
      <c r="D66" s="595">
        <v>1295913</v>
      </c>
    </row>
    <row r="67" spans="1:4" x14ac:dyDescent="0.2">
      <c r="A67" s="593">
        <v>248</v>
      </c>
      <c r="B67" s="594" t="s">
        <v>542</v>
      </c>
      <c r="C67" s="595">
        <v>93116366</v>
      </c>
      <c r="D67" s="595">
        <v>0</v>
      </c>
    </row>
    <row r="68" spans="1:4" x14ac:dyDescent="0.2">
      <c r="A68" s="596">
        <v>249</v>
      </c>
      <c r="B68" s="597" t="s">
        <v>543</v>
      </c>
      <c r="C68" s="598">
        <f>SUM(C66:C67)</f>
        <v>94211148</v>
      </c>
      <c r="D68" s="598">
        <f>SUM(D66:D67)</f>
        <v>1295913</v>
      </c>
    </row>
    <row r="69" spans="1:4" x14ac:dyDescent="0.2">
      <c r="A69" s="596">
        <v>250</v>
      </c>
      <c r="B69" s="597" t="s">
        <v>544</v>
      </c>
      <c r="C69" s="598">
        <f>C54+C65+C68</f>
        <v>803375484</v>
      </c>
      <c r="D69" s="598">
        <f>D54+D65+D68</f>
        <v>799977704</v>
      </c>
    </row>
  </sheetData>
  <mergeCells count="4">
    <mergeCell ref="A1:D1"/>
    <mergeCell ref="A2:D2"/>
    <mergeCell ref="C3:D3"/>
    <mergeCell ref="A5:D5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55"/>
  <sheetViews>
    <sheetView view="pageBreakPreview" zoomScale="130" zoomScaleNormal="100" zoomScaleSheetLayoutView="130" workbookViewId="0">
      <selection sqref="A1:F1"/>
    </sheetView>
  </sheetViews>
  <sheetFormatPr defaultRowHeight="12.75" x14ac:dyDescent="0.2"/>
  <cols>
    <col min="1" max="1" width="47.5703125" style="159" customWidth="1"/>
    <col min="2" max="2" width="16" style="159" customWidth="1"/>
    <col min="3" max="4" width="13.42578125" style="159" customWidth="1"/>
    <col min="5" max="6" width="18.42578125" style="159" customWidth="1"/>
    <col min="7" max="16384" width="9.140625" style="159"/>
  </cols>
  <sheetData>
    <row r="1" spans="1:6" ht="24.75" customHeight="1" x14ac:dyDescent="0.2">
      <c r="A1" s="632" t="s">
        <v>674</v>
      </c>
      <c r="B1" s="633"/>
      <c r="C1" s="633"/>
      <c r="D1" s="633"/>
      <c r="E1" s="633"/>
      <c r="F1" s="633"/>
    </row>
    <row r="2" spans="1:6" x14ac:dyDescent="0.2">
      <c r="A2" s="410"/>
      <c r="B2" s="399"/>
      <c r="C2" s="399"/>
      <c r="D2" s="399"/>
      <c r="E2" s="399"/>
      <c r="F2" s="410" t="s">
        <v>409</v>
      </c>
    </row>
    <row r="3" spans="1:6" x14ac:dyDescent="0.2">
      <c r="A3" s="631"/>
      <c r="B3" s="631"/>
      <c r="C3" s="631"/>
      <c r="D3" s="631"/>
      <c r="E3" s="631"/>
      <c r="F3" s="631"/>
    </row>
    <row r="4" spans="1:6" x14ac:dyDescent="0.2">
      <c r="A4" s="634" t="s">
        <v>397</v>
      </c>
      <c r="B4" s="634"/>
      <c r="C4" s="634"/>
      <c r="D4" s="634"/>
      <c r="E4" s="634"/>
      <c r="F4" s="634"/>
    </row>
    <row r="5" spans="1:6" ht="13.5" thickBot="1" x14ac:dyDescent="0.25">
      <c r="A5" s="248"/>
      <c r="B5" s="248"/>
      <c r="C5" s="248"/>
      <c r="D5" s="248"/>
      <c r="E5" s="248"/>
      <c r="F5" s="248"/>
    </row>
    <row r="6" spans="1:6" ht="25.5" x14ac:dyDescent="0.2">
      <c r="A6" s="249" t="s">
        <v>136</v>
      </c>
      <c r="B6" s="250" t="s">
        <v>137</v>
      </c>
      <c r="C6" s="416" t="s">
        <v>424</v>
      </c>
      <c r="D6" s="416" t="s">
        <v>460</v>
      </c>
      <c r="E6" s="250" t="s">
        <v>138</v>
      </c>
      <c r="F6" s="253" t="s">
        <v>139</v>
      </c>
    </row>
    <row r="7" spans="1:6" x14ac:dyDescent="0.2">
      <c r="A7" s="251"/>
      <c r="B7" s="252"/>
      <c r="C7" s="252"/>
      <c r="D7" s="252"/>
      <c r="E7" s="252"/>
      <c r="F7" s="254"/>
    </row>
    <row r="8" spans="1:6" s="563" customFormat="1" ht="13.5" customHeight="1" x14ac:dyDescent="0.2">
      <c r="A8" s="255" t="s">
        <v>140</v>
      </c>
      <c r="B8" s="561">
        <f>SUM(B9:B10)</f>
        <v>26765481</v>
      </c>
      <c r="C8" s="561">
        <f t="shared" ref="C8:E8" si="0">SUM(C9:C10)</f>
        <v>28510461</v>
      </c>
      <c r="D8" s="561">
        <f t="shared" ref="D8" si="1">SUM(D9:D10)</f>
        <v>28511043</v>
      </c>
      <c r="E8" s="561">
        <f t="shared" si="0"/>
        <v>28511043</v>
      </c>
      <c r="F8" s="562">
        <f>SUM(F9,F10)</f>
        <v>0</v>
      </c>
    </row>
    <row r="9" spans="1:6" s="563" customFormat="1" ht="13.5" customHeight="1" x14ac:dyDescent="0.2">
      <c r="A9" s="256" t="s">
        <v>141</v>
      </c>
      <c r="B9" s="561">
        <f>8347461+1918020</f>
        <v>10265481</v>
      </c>
      <c r="C9" s="561">
        <v>9348461</v>
      </c>
      <c r="D9" s="561">
        <v>9350755</v>
      </c>
      <c r="E9" s="561">
        <v>9350755</v>
      </c>
      <c r="F9" s="562"/>
    </row>
    <row r="10" spans="1:6" s="563" customFormat="1" ht="13.5" customHeight="1" x14ac:dyDescent="0.2">
      <c r="A10" s="256" t="s">
        <v>142</v>
      </c>
      <c r="B10" s="561">
        <f>SUM(B11:B14)</f>
        <v>16500000</v>
      </c>
      <c r="C10" s="561">
        <f>SUM(C11:C14)</f>
        <v>19162000</v>
      </c>
      <c r="D10" s="561">
        <f>SUM(D11:D14)</f>
        <v>19160288</v>
      </c>
      <c r="E10" s="561">
        <f>SUM(E11:E14)</f>
        <v>19160288</v>
      </c>
      <c r="F10" s="562">
        <f>SUM(F11:F14)</f>
        <v>0</v>
      </c>
    </row>
    <row r="11" spans="1:6" ht="13.5" customHeight="1" x14ac:dyDescent="0.2">
      <c r="A11" s="352" t="s">
        <v>143</v>
      </c>
      <c r="B11" s="357">
        <v>14100000</v>
      </c>
      <c r="C11" s="357">
        <v>16203000</v>
      </c>
      <c r="D11" s="357">
        <v>16202175</v>
      </c>
      <c r="E11" s="357">
        <v>16202175</v>
      </c>
      <c r="F11" s="358"/>
    </row>
    <row r="12" spans="1:6" ht="13.5" customHeight="1" x14ac:dyDescent="0.2">
      <c r="A12" s="352" t="s">
        <v>144</v>
      </c>
      <c r="B12" s="357">
        <v>1800000</v>
      </c>
      <c r="C12" s="357">
        <v>2366000</v>
      </c>
      <c r="D12" s="357">
        <v>2365341</v>
      </c>
      <c r="E12" s="357">
        <v>2365341</v>
      </c>
      <c r="F12" s="358"/>
    </row>
    <row r="13" spans="1:6" ht="13.5" customHeight="1" x14ac:dyDescent="0.2">
      <c r="A13" s="352" t="s">
        <v>145</v>
      </c>
      <c r="B13" s="357">
        <v>100000</v>
      </c>
      <c r="C13" s="357">
        <v>100000</v>
      </c>
      <c r="D13" s="357">
        <v>243667</v>
      </c>
      <c r="E13" s="357">
        <v>243667</v>
      </c>
      <c r="F13" s="358"/>
    </row>
    <row r="14" spans="1:6" ht="13.5" customHeight="1" x14ac:dyDescent="0.2">
      <c r="A14" s="352" t="s">
        <v>146</v>
      </c>
      <c r="B14" s="357">
        <v>500000</v>
      </c>
      <c r="C14" s="357">
        <v>493000</v>
      </c>
      <c r="D14" s="357">
        <v>349105</v>
      </c>
      <c r="E14" s="357">
        <v>349105</v>
      </c>
      <c r="F14" s="358"/>
    </row>
    <row r="15" spans="1:6" s="563" customFormat="1" ht="25.5" x14ac:dyDescent="0.2">
      <c r="A15" s="351" t="s">
        <v>215</v>
      </c>
      <c r="B15" s="564">
        <f>SUM(B16:B35)</f>
        <v>64086279</v>
      </c>
      <c r="C15" s="564">
        <f>SUM(C16:C38)</f>
        <v>70771516</v>
      </c>
      <c r="D15" s="564">
        <f>SUM(D16:D38)</f>
        <v>70771516</v>
      </c>
      <c r="E15" s="564">
        <f>SUM(E16:E38)</f>
        <v>70771516</v>
      </c>
      <c r="F15" s="564">
        <f>SUM(F16:F35)</f>
        <v>0</v>
      </c>
    </row>
    <row r="16" spans="1:6" ht="13.5" customHeight="1" x14ac:dyDescent="0.2">
      <c r="A16" s="257" t="s">
        <v>147</v>
      </c>
      <c r="B16" s="357"/>
      <c r="C16" s="357"/>
      <c r="D16" s="357"/>
      <c r="E16" s="357"/>
      <c r="F16" s="358"/>
    </row>
    <row r="17" spans="1:6" ht="13.5" customHeight="1" x14ac:dyDescent="0.2">
      <c r="A17" s="352" t="s">
        <v>347</v>
      </c>
      <c r="B17" s="357">
        <v>7889740</v>
      </c>
      <c r="C17" s="357">
        <v>7889740</v>
      </c>
      <c r="D17" s="357">
        <v>7889740</v>
      </c>
      <c r="E17" s="357">
        <v>7889740</v>
      </c>
      <c r="F17" s="358"/>
    </row>
    <row r="18" spans="1:6" ht="13.5" customHeight="1" x14ac:dyDescent="0.2">
      <c r="A18" s="352" t="s">
        <v>348</v>
      </c>
      <c r="B18" s="357">
        <v>4000000</v>
      </c>
      <c r="C18" s="357">
        <v>4000000</v>
      </c>
      <c r="D18" s="357">
        <v>4000000</v>
      </c>
      <c r="E18" s="357">
        <v>4000000</v>
      </c>
      <c r="F18" s="358"/>
    </row>
    <row r="19" spans="1:6" ht="13.5" customHeight="1" x14ac:dyDescent="0.2">
      <c r="A19" s="352" t="s">
        <v>354</v>
      </c>
      <c r="B19" s="357">
        <v>100000</v>
      </c>
      <c r="C19" s="357">
        <v>100000</v>
      </c>
      <c r="D19" s="357">
        <v>100000</v>
      </c>
      <c r="E19" s="357">
        <v>100000</v>
      </c>
      <c r="F19" s="358"/>
    </row>
    <row r="20" spans="1:6" ht="13.5" customHeight="1" x14ac:dyDescent="0.2">
      <c r="A20" s="257" t="s">
        <v>148</v>
      </c>
      <c r="B20" s="357">
        <v>3037260</v>
      </c>
      <c r="C20" s="357">
        <v>3037260</v>
      </c>
      <c r="D20" s="357">
        <v>3037260</v>
      </c>
      <c r="E20" s="357">
        <v>3037260</v>
      </c>
      <c r="F20" s="358"/>
    </row>
    <row r="21" spans="1:6" ht="13.5" customHeight="1" x14ac:dyDescent="0.2">
      <c r="A21" s="257" t="s">
        <v>384</v>
      </c>
      <c r="B21" s="357">
        <v>560300</v>
      </c>
      <c r="C21" s="357">
        <v>560300</v>
      </c>
      <c r="D21" s="357">
        <v>560300</v>
      </c>
      <c r="E21" s="357">
        <v>560300</v>
      </c>
      <c r="F21" s="358"/>
    </row>
    <row r="22" spans="1:6" ht="13.5" customHeight="1" x14ac:dyDescent="0.2">
      <c r="A22" s="257" t="s">
        <v>149</v>
      </c>
      <c r="B22" s="357">
        <v>14139806</v>
      </c>
      <c r="C22" s="357">
        <v>14139806</v>
      </c>
      <c r="D22" s="357">
        <v>14139806</v>
      </c>
      <c r="E22" s="357">
        <v>14139806</v>
      </c>
      <c r="F22" s="358"/>
    </row>
    <row r="23" spans="1:6" ht="13.5" customHeight="1" x14ac:dyDescent="0.2">
      <c r="A23" s="257" t="s">
        <v>150</v>
      </c>
      <c r="B23" s="357">
        <v>6557250</v>
      </c>
      <c r="C23" s="357">
        <v>6557250</v>
      </c>
      <c r="D23" s="357">
        <v>6557250</v>
      </c>
      <c r="E23" s="357">
        <v>6557250</v>
      </c>
      <c r="F23" s="358"/>
    </row>
    <row r="24" spans="1:6" ht="25.5" x14ac:dyDescent="0.2">
      <c r="A24" s="353" t="s">
        <v>349</v>
      </c>
      <c r="B24" s="359">
        <v>2205000</v>
      </c>
      <c r="C24" s="359">
        <v>2205000</v>
      </c>
      <c r="D24" s="359">
        <v>2205000</v>
      </c>
      <c r="E24" s="359">
        <v>2205000</v>
      </c>
      <c r="F24" s="360"/>
    </row>
    <row r="25" spans="1:6" ht="13.5" customHeight="1" x14ac:dyDescent="0.2">
      <c r="A25" s="257" t="s">
        <v>151</v>
      </c>
      <c r="B25" s="357">
        <v>1038933</v>
      </c>
      <c r="C25" s="357">
        <v>1038933</v>
      </c>
      <c r="D25" s="357">
        <v>1038933</v>
      </c>
      <c r="E25" s="357">
        <v>1038933</v>
      </c>
      <c r="F25" s="358"/>
    </row>
    <row r="26" spans="1:6" ht="13.5" customHeight="1" x14ac:dyDescent="0.2">
      <c r="A26" s="257" t="s">
        <v>152</v>
      </c>
      <c r="B26" s="357"/>
      <c r="C26" s="357"/>
      <c r="D26" s="357"/>
      <c r="E26" s="357"/>
      <c r="F26" s="358"/>
    </row>
    <row r="27" spans="1:6" ht="37.5" customHeight="1" x14ac:dyDescent="0.2">
      <c r="A27" s="417" t="s">
        <v>425</v>
      </c>
      <c r="B27" s="359"/>
      <c r="C27" s="359">
        <v>195000</v>
      </c>
      <c r="D27" s="359">
        <v>195000</v>
      </c>
      <c r="E27" s="359">
        <v>195000</v>
      </c>
      <c r="F27" s="360"/>
    </row>
    <row r="28" spans="1:6" ht="25.5" x14ac:dyDescent="0.2">
      <c r="A28" s="418" t="s">
        <v>350</v>
      </c>
      <c r="B28" s="359">
        <v>15790750</v>
      </c>
      <c r="C28" s="359">
        <v>15827531</v>
      </c>
      <c r="D28" s="359">
        <v>15827531</v>
      </c>
      <c r="E28" s="359">
        <v>15827531</v>
      </c>
      <c r="F28" s="360"/>
    </row>
    <row r="29" spans="1:6" ht="38.25" x14ac:dyDescent="0.2">
      <c r="A29" s="417" t="s">
        <v>425</v>
      </c>
      <c r="B29" s="359"/>
      <c r="C29" s="359">
        <v>730000</v>
      </c>
      <c r="D29" s="359">
        <v>730000</v>
      </c>
      <c r="E29" s="359">
        <v>730000</v>
      </c>
      <c r="F29" s="360"/>
    </row>
    <row r="30" spans="1:6" ht="13.5" customHeight="1" x14ac:dyDescent="0.2">
      <c r="A30" s="257" t="s">
        <v>153</v>
      </c>
      <c r="B30" s="357">
        <v>6192200</v>
      </c>
      <c r="C30" s="357">
        <v>6192000</v>
      </c>
      <c r="D30" s="357">
        <v>6192000</v>
      </c>
      <c r="E30" s="357">
        <v>6192000</v>
      </c>
      <c r="F30" s="358"/>
    </row>
    <row r="31" spans="1:6" ht="13.5" customHeight="1" x14ac:dyDescent="0.2">
      <c r="A31" s="257" t="s">
        <v>193</v>
      </c>
      <c r="B31" s="357">
        <v>775040</v>
      </c>
      <c r="C31" s="357">
        <v>553600</v>
      </c>
      <c r="D31" s="357">
        <v>553600</v>
      </c>
      <c r="E31" s="357">
        <v>553600</v>
      </c>
      <c r="F31" s="358"/>
    </row>
    <row r="32" spans="1:6" ht="37.5" customHeight="1" x14ac:dyDescent="0.2">
      <c r="A32" s="417" t="s">
        <v>425</v>
      </c>
      <c r="B32" s="357"/>
      <c r="C32" s="357">
        <v>140000</v>
      </c>
      <c r="D32" s="357">
        <v>140000</v>
      </c>
      <c r="E32" s="357">
        <v>140000</v>
      </c>
      <c r="F32" s="358"/>
    </row>
    <row r="33" spans="1:6" ht="13.5" customHeight="1" x14ac:dyDescent="0.2">
      <c r="A33" s="257" t="s">
        <v>154</v>
      </c>
      <c r="B33" s="357"/>
      <c r="C33" s="357"/>
      <c r="D33" s="357"/>
      <c r="E33" s="357"/>
      <c r="F33" s="358"/>
    </row>
    <row r="34" spans="1:6" ht="13.5" customHeight="1" x14ac:dyDescent="0.2">
      <c r="A34" s="257" t="s">
        <v>155</v>
      </c>
      <c r="B34" s="357">
        <v>1800000</v>
      </c>
      <c r="C34" s="357">
        <v>1827246</v>
      </c>
      <c r="D34" s="357">
        <v>1827246</v>
      </c>
      <c r="E34" s="357">
        <v>1827246</v>
      </c>
      <c r="F34" s="358"/>
    </row>
    <row r="35" spans="1:6" ht="13.5" customHeight="1" x14ac:dyDescent="0.2">
      <c r="A35" s="257" t="s">
        <v>156</v>
      </c>
      <c r="B35" s="357"/>
      <c r="C35" s="357"/>
      <c r="D35" s="357"/>
      <c r="E35" s="357"/>
      <c r="F35" s="358"/>
    </row>
    <row r="36" spans="1:6" ht="13.5" customHeight="1" x14ac:dyDescent="0.2">
      <c r="A36" s="352" t="s">
        <v>426</v>
      </c>
      <c r="B36" s="357"/>
      <c r="C36" s="357">
        <v>1273810</v>
      </c>
      <c r="D36" s="357">
        <v>1273810</v>
      </c>
      <c r="E36" s="357">
        <v>1273810</v>
      </c>
      <c r="F36" s="358"/>
    </row>
    <row r="37" spans="1:6" ht="13.5" customHeight="1" x14ac:dyDescent="0.2">
      <c r="A37" s="352" t="s">
        <v>427</v>
      </c>
      <c r="B37" s="357"/>
      <c r="C37" s="357">
        <v>4493900</v>
      </c>
      <c r="D37" s="357">
        <v>4493900</v>
      </c>
      <c r="E37" s="357">
        <v>4493900</v>
      </c>
      <c r="F37" s="358"/>
    </row>
    <row r="38" spans="1:6" ht="27" customHeight="1" x14ac:dyDescent="0.2">
      <c r="A38" s="419" t="s">
        <v>428</v>
      </c>
      <c r="B38" s="357"/>
      <c r="C38" s="357">
        <v>10140</v>
      </c>
      <c r="D38" s="357">
        <v>10140</v>
      </c>
      <c r="E38" s="357">
        <v>10140</v>
      </c>
      <c r="F38" s="358"/>
    </row>
    <row r="39" spans="1:6" s="563" customFormat="1" ht="13.5" customHeight="1" x14ac:dyDescent="0.2">
      <c r="A39" s="255" t="s">
        <v>157</v>
      </c>
      <c r="B39" s="561">
        <f>B41+B40</f>
        <v>240000</v>
      </c>
      <c r="C39" s="561">
        <f>C41+C40</f>
        <v>5730007</v>
      </c>
      <c r="D39" s="561">
        <f>D41+D40</f>
        <v>5845248</v>
      </c>
      <c r="E39" s="561">
        <f>E41+E40</f>
        <v>5845248</v>
      </c>
      <c r="F39" s="562"/>
    </row>
    <row r="40" spans="1:6" ht="13.5" customHeight="1" x14ac:dyDescent="0.2">
      <c r="A40" s="352" t="s">
        <v>461</v>
      </c>
      <c r="B40" s="357"/>
      <c r="C40" s="357">
        <v>4092428</v>
      </c>
      <c r="D40" s="357">
        <v>4207669</v>
      </c>
      <c r="E40" s="357">
        <v>4207669</v>
      </c>
      <c r="F40" s="358"/>
    </row>
    <row r="41" spans="1:6" ht="13.5" customHeight="1" x14ac:dyDescent="0.2">
      <c r="A41" s="257" t="s">
        <v>385</v>
      </c>
      <c r="B41" s="357">
        <v>240000</v>
      </c>
      <c r="C41" s="357">
        <v>1637579</v>
      </c>
      <c r="D41" s="357">
        <v>1637579</v>
      </c>
      <c r="E41" s="357">
        <v>1637579</v>
      </c>
      <c r="F41" s="358"/>
    </row>
    <row r="42" spans="1:6" s="563" customFormat="1" ht="13.5" customHeight="1" x14ac:dyDescent="0.2">
      <c r="A42" s="258" t="s">
        <v>386</v>
      </c>
      <c r="B42" s="561">
        <f>B43+B46+B47</f>
        <v>9017336</v>
      </c>
      <c r="C42" s="561">
        <f>C43+C46+C47</f>
        <v>25049130</v>
      </c>
      <c r="D42" s="561">
        <f t="shared" ref="D42:F42" si="2">D43+D46+D47</f>
        <v>24253460</v>
      </c>
      <c r="E42" s="561">
        <f t="shared" si="2"/>
        <v>0</v>
      </c>
      <c r="F42" s="561">
        <f t="shared" si="2"/>
        <v>24253460</v>
      </c>
    </row>
    <row r="43" spans="1:6" ht="13.5" customHeight="1" x14ac:dyDescent="0.2">
      <c r="A43" s="257" t="s">
        <v>158</v>
      </c>
      <c r="B43" s="357">
        <f>B44+B45</f>
        <v>3716000</v>
      </c>
      <c r="C43" s="357">
        <f>C44+C45</f>
        <v>4716000</v>
      </c>
      <c r="D43" s="357">
        <f>D44+D45</f>
        <v>3920330</v>
      </c>
      <c r="E43" s="357">
        <f t="shared" ref="E43:F43" si="3">E44+E45</f>
        <v>0</v>
      </c>
      <c r="F43" s="357">
        <f t="shared" si="3"/>
        <v>3920330</v>
      </c>
    </row>
    <row r="44" spans="1:6" ht="13.5" customHeight="1" x14ac:dyDescent="0.2">
      <c r="A44" s="257" t="s">
        <v>159</v>
      </c>
      <c r="B44" s="357">
        <v>0</v>
      </c>
      <c r="C44" s="357">
        <v>1000000</v>
      </c>
      <c r="D44" s="357">
        <v>1000000</v>
      </c>
      <c r="E44" s="357"/>
      <c r="F44" s="358">
        <v>1000000</v>
      </c>
    </row>
    <row r="45" spans="1:6" ht="25.5" x14ac:dyDescent="0.2">
      <c r="A45" s="353" t="s">
        <v>355</v>
      </c>
      <c r="B45" s="357">
        <v>3716000</v>
      </c>
      <c r="C45" s="357">
        <v>3716000</v>
      </c>
      <c r="D45" s="357">
        <v>2920330</v>
      </c>
      <c r="E45" s="357"/>
      <c r="F45" s="357">
        <v>2920330</v>
      </c>
    </row>
    <row r="46" spans="1:6" ht="13.5" customHeight="1" x14ac:dyDescent="0.2">
      <c r="A46" s="352" t="s">
        <v>429</v>
      </c>
      <c r="B46" s="357">
        <v>5301336</v>
      </c>
      <c r="C46" s="357">
        <v>5336822</v>
      </c>
      <c r="D46" s="357">
        <v>5336822</v>
      </c>
      <c r="E46" s="357"/>
      <c r="F46" s="357">
        <v>5336822</v>
      </c>
    </row>
    <row r="47" spans="1:6" ht="26.25" customHeight="1" x14ac:dyDescent="0.2">
      <c r="A47" s="419" t="s">
        <v>430</v>
      </c>
      <c r="B47" s="357">
        <v>0</v>
      </c>
      <c r="C47" s="357">
        <v>14996308</v>
      </c>
      <c r="D47" s="357">
        <v>14996308</v>
      </c>
      <c r="E47" s="357"/>
      <c r="F47" s="358">
        <v>14996308</v>
      </c>
    </row>
    <row r="48" spans="1:6" s="563" customFormat="1" ht="13.5" customHeight="1" x14ac:dyDescent="0.2">
      <c r="A48" s="259" t="s">
        <v>351</v>
      </c>
      <c r="B48" s="561">
        <f>B15+B8+B39+B42</f>
        <v>100109096</v>
      </c>
      <c r="C48" s="561">
        <f>C15+C8+C39+C42</f>
        <v>130061114</v>
      </c>
      <c r="D48" s="561">
        <f>D15+D8+D39+D42</f>
        <v>129381267</v>
      </c>
      <c r="E48" s="561">
        <f>E15+E8+E39+E42</f>
        <v>105127807</v>
      </c>
      <c r="F48" s="561">
        <f>F15+F8+F39+F42</f>
        <v>24253460</v>
      </c>
    </row>
    <row r="49" spans="1:6" ht="25.5" x14ac:dyDescent="0.2">
      <c r="A49" s="353" t="s">
        <v>353</v>
      </c>
      <c r="B49" s="359"/>
      <c r="C49" s="359"/>
      <c r="D49" s="359"/>
      <c r="E49" s="359"/>
      <c r="F49" s="360"/>
    </row>
    <row r="50" spans="1:6" ht="13.5" customHeight="1" x14ac:dyDescent="0.2">
      <c r="A50" s="257" t="s">
        <v>161</v>
      </c>
      <c r="B50" s="357">
        <f>SUM(B51:B53)</f>
        <v>24824052</v>
      </c>
      <c r="C50" s="357">
        <f t="shared" ref="C50:D50" si="4">SUM(C51:C53)</f>
        <v>25210085</v>
      </c>
      <c r="D50" s="357">
        <f t="shared" si="4"/>
        <v>27778703</v>
      </c>
      <c r="E50" s="357">
        <f>SUM(E51:E53)</f>
        <v>27778703</v>
      </c>
      <c r="F50" s="357">
        <f t="shared" ref="F50" si="5">SUM(F51:F53)</f>
        <v>0</v>
      </c>
    </row>
    <row r="51" spans="1:6" ht="13.5" customHeight="1" x14ac:dyDescent="0.2">
      <c r="A51" s="352" t="s">
        <v>445</v>
      </c>
      <c r="B51" s="357">
        <v>24824052</v>
      </c>
      <c r="C51" s="357">
        <v>23481858</v>
      </c>
      <c r="D51" s="357">
        <v>23481858</v>
      </c>
      <c r="E51" s="357">
        <v>23481858</v>
      </c>
      <c r="F51" s="358"/>
    </row>
    <row r="52" spans="1:6" ht="13.5" customHeight="1" x14ac:dyDescent="0.2">
      <c r="A52" s="352" t="s">
        <v>444</v>
      </c>
      <c r="B52" s="357"/>
      <c r="C52" s="357">
        <v>1587177</v>
      </c>
      <c r="D52" s="357">
        <v>1587177</v>
      </c>
      <c r="E52" s="357">
        <v>1587177</v>
      </c>
      <c r="F52" s="357"/>
    </row>
    <row r="53" spans="1:6" ht="13.5" customHeight="1" x14ac:dyDescent="0.2">
      <c r="A53" s="352" t="s">
        <v>432</v>
      </c>
      <c r="B53" s="357"/>
      <c r="C53" s="357">
        <v>141050</v>
      </c>
      <c r="D53" s="357">
        <v>2709668</v>
      </c>
      <c r="E53" s="357">
        <v>2709668</v>
      </c>
      <c r="F53" s="357"/>
    </row>
    <row r="54" spans="1:6" ht="13.5" customHeight="1" x14ac:dyDescent="0.2">
      <c r="A54" s="255" t="s">
        <v>352</v>
      </c>
      <c r="B54" s="357"/>
      <c r="C54" s="357"/>
      <c r="D54" s="357"/>
      <c r="E54" s="357"/>
      <c r="F54" s="358"/>
    </row>
    <row r="55" spans="1:6" ht="13.5" customHeight="1" thickBot="1" x14ac:dyDescent="0.25">
      <c r="A55" s="260" t="s">
        <v>162</v>
      </c>
      <c r="B55" s="361">
        <f>B48+B50</f>
        <v>124933148</v>
      </c>
      <c r="C55" s="361">
        <f>C48+C50</f>
        <v>155271199</v>
      </c>
      <c r="D55" s="361">
        <f>D48+D50</f>
        <v>157159970</v>
      </c>
      <c r="E55" s="361">
        <f>E48+E50</f>
        <v>132906510</v>
      </c>
      <c r="F55" s="361">
        <f>F48+F50</f>
        <v>24253460</v>
      </c>
    </row>
  </sheetData>
  <mergeCells count="3">
    <mergeCell ref="A3:F3"/>
    <mergeCell ref="A1:F1"/>
    <mergeCell ref="A4:F4"/>
  </mergeCells>
  <phoneticPr fontId="22" type="noConversion"/>
  <pageMargins left="0.39" right="0.25" top="1" bottom="1" header="0.5" footer="0.5"/>
  <pageSetup paperSize="9" scale="7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25"/>
  <sheetViews>
    <sheetView zoomScaleNormal="100" workbookViewId="0">
      <selection sqref="A1:I1"/>
    </sheetView>
  </sheetViews>
  <sheetFormatPr defaultRowHeight="12.75" x14ac:dyDescent="0.2"/>
  <cols>
    <col min="1" max="1" width="10.140625" customWidth="1"/>
    <col min="2" max="2" width="42.140625" customWidth="1"/>
    <col min="3" max="3" width="11.42578125" customWidth="1"/>
    <col min="4" max="4" width="13.28515625" customWidth="1"/>
    <col min="5" max="5" width="13.7109375" customWidth="1"/>
    <col min="6" max="6" width="15" customWidth="1"/>
    <col min="7" max="7" width="12.42578125" customWidth="1"/>
    <col min="8" max="8" width="16" customWidth="1"/>
    <col min="9" max="9" width="12.5703125" customWidth="1"/>
  </cols>
  <sheetData>
    <row r="1" spans="1:9" ht="14.25" x14ac:dyDescent="0.2">
      <c r="A1" s="815" t="s">
        <v>683</v>
      </c>
      <c r="B1" s="815"/>
      <c r="C1" s="815"/>
      <c r="D1" s="815"/>
      <c r="E1" s="815"/>
      <c r="F1" s="815"/>
      <c r="G1" s="815"/>
      <c r="H1" s="815"/>
      <c r="I1" s="815"/>
    </row>
    <row r="2" spans="1:9" ht="14.25" x14ac:dyDescent="0.2">
      <c r="A2" s="599"/>
      <c r="B2" s="599"/>
      <c r="C2" s="599"/>
      <c r="D2" s="599"/>
      <c r="E2" s="599"/>
      <c r="F2" s="599"/>
      <c r="G2" s="599"/>
      <c r="H2" s="599"/>
      <c r="I2" s="599"/>
    </row>
    <row r="3" spans="1:9" ht="15" x14ac:dyDescent="0.25">
      <c r="A3" s="816" t="s">
        <v>583</v>
      </c>
      <c r="B3" s="816"/>
      <c r="C3" s="816"/>
      <c r="D3" s="816"/>
      <c r="E3" s="816"/>
      <c r="F3" s="816"/>
      <c r="G3" s="816"/>
      <c r="H3" s="816"/>
      <c r="I3" s="816"/>
    </row>
    <row r="4" spans="1:9" ht="14.25" x14ac:dyDescent="0.2">
      <c r="A4" s="817" t="s">
        <v>584</v>
      </c>
      <c r="B4" s="817"/>
      <c r="C4" s="817"/>
      <c r="D4" s="817"/>
      <c r="E4" s="817"/>
      <c r="F4" s="817"/>
      <c r="G4" s="817"/>
      <c r="H4" s="817"/>
      <c r="I4" s="817"/>
    </row>
    <row r="5" spans="1:9" ht="14.25" x14ac:dyDescent="0.2">
      <c r="A5" s="600"/>
      <c r="B5" s="601"/>
      <c r="C5" s="600"/>
      <c r="D5" s="600"/>
      <c r="E5" s="600"/>
      <c r="F5" s="600"/>
      <c r="G5" s="600"/>
      <c r="H5" s="600"/>
      <c r="I5" s="600"/>
    </row>
    <row r="6" spans="1:9" x14ac:dyDescent="0.2">
      <c r="A6" s="602"/>
      <c r="B6" s="603"/>
      <c r="C6" s="588"/>
      <c r="D6" s="588"/>
      <c r="E6" s="588"/>
      <c r="F6" s="588"/>
      <c r="G6" s="588"/>
      <c r="H6" s="588"/>
      <c r="I6" s="604" t="s">
        <v>632</v>
      </c>
    </row>
    <row r="7" spans="1:9" x14ac:dyDescent="0.2">
      <c r="A7" s="818" t="s">
        <v>547</v>
      </c>
      <c r="B7" s="819"/>
      <c r="C7" s="819"/>
      <c r="D7" s="819"/>
      <c r="E7" s="819"/>
      <c r="F7" s="819"/>
      <c r="G7" s="819"/>
      <c r="H7" s="819"/>
      <c r="I7" s="819"/>
    </row>
    <row r="8" spans="1:9" ht="51" x14ac:dyDescent="0.2">
      <c r="A8" s="605" t="s">
        <v>468</v>
      </c>
      <c r="B8" s="605" t="s">
        <v>16</v>
      </c>
      <c r="C8" s="605" t="s">
        <v>548</v>
      </c>
      <c r="D8" s="605" t="s">
        <v>549</v>
      </c>
      <c r="E8" s="605" t="s">
        <v>550</v>
      </c>
      <c r="F8" s="605" t="s">
        <v>551</v>
      </c>
      <c r="G8" s="605" t="s">
        <v>552</v>
      </c>
      <c r="H8" s="605" t="s">
        <v>553</v>
      </c>
      <c r="I8" s="605" t="s">
        <v>554</v>
      </c>
    </row>
    <row r="9" spans="1:9" x14ac:dyDescent="0.2">
      <c r="A9" s="605">
        <v>1</v>
      </c>
      <c r="B9" s="605">
        <v>2</v>
      </c>
      <c r="C9" s="605">
        <v>3</v>
      </c>
      <c r="D9" s="605">
        <v>4</v>
      </c>
      <c r="E9" s="605">
        <v>5</v>
      </c>
      <c r="F9" s="605">
        <v>6</v>
      </c>
      <c r="G9" s="605">
        <v>7</v>
      </c>
      <c r="H9" s="605">
        <v>8</v>
      </c>
      <c r="I9" s="605">
        <v>9</v>
      </c>
    </row>
    <row r="10" spans="1:9" ht="25.5" x14ac:dyDescent="0.2">
      <c r="A10" s="596" t="s">
        <v>555</v>
      </c>
      <c r="B10" s="597" t="s">
        <v>556</v>
      </c>
      <c r="C10" s="598">
        <v>9930758</v>
      </c>
      <c r="D10" s="598">
        <v>531145918</v>
      </c>
      <c r="E10" s="598">
        <v>13947271</v>
      </c>
      <c r="F10" s="598">
        <v>0</v>
      </c>
      <c r="G10" s="598">
        <v>0</v>
      </c>
      <c r="H10" s="598">
        <v>340579060</v>
      </c>
      <c r="I10" s="598">
        <f>SUM(C10:H10)</f>
        <v>895603007</v>
      </c>
    </row>
    <row r="11" spans="1:9" ht="25.5" x14ac:dyDescent="0.2">
      <c r="A11" s="593" t="s">
        <v>472</v>
      </c>
      <c r="B11" s="594" t="s">
        <v>557</v>
      </c>
      <c r="C11" s="595">
        <v>0</v>
      </c>
      <c r="D11" s="595">
        <v>0</v>
      </c>
      <c r="E11" s="595">
        <v>0</v>
      </c>
      <c r="F11" s="595">
        <v>0</v>
      </c>
      <c r="G11" s="595">
        <v>1166910</v>
      </c>
      <c r="H11" s="595">
        <v>0</v>
      </c>
      <c r="I11" s="595">
        <f>SUM(C11:H11)</f>
        <v>1166910</v>
      </c>
    </row>
    <row r="12" spans="1:9" x14ac:dyDescent="0.2">
      <c r="A12" s="593" t="s">
        <v>589</v>
      </c>
      <c r="B12" s="594" t="s">
        <v>558</v>
      </c>
      <c r="C12" s="595">
        <v>0</v>
      </c>
      <c r="D12" s="595">
        <v>0</v>
      </c>
      <c r="E12" s="595">
        <v>0</v>
      </c>
      <c r="F12" s="595">
        <v>0</v>
      </c>
      <c r="G12" s="595">
        <v>30186278</v>
      </c>
      <c r="H12" s="595">
        <v>0</v>
      </c>
      <c r="I12" s="595">
        <f>SUM(C12:H12)</f>
        <v>30186278</v>
      </c>
    </row>
    <row r="13" spans="1:9" x14ac:dyDescent="0.2">
      <c r="A13" s="593" t="s">
        <v>474</v>
      </c>
      <c r="B13" s="594" t="s">
        <v>559</v>
      </c>
      <c r="C13" s="595">
        <v>0</v>
      </c>
      <c r="D13" s="595">
        <v>30575278</v>
      </c>
      <c r="E13" s="595">
        <v>371510</v>
      </c>
      <c r="F13" s="595">
        <v>0</v>
      </c>
      <c r="G13" s="595">
        <v>0</v>
      </c>
      <c r="H13" s="595">
        <v>0</v>
      </c>
      <c r="I13" s="595">
        <f>SUM(C13:H13)</f>
        <v>30946788</v>
      </c>
    </row>
    <row r="14" spans="1:9" x14ac:dyDescent="0.2">
      <c r="A14" s="593" t="s">
        <v>560</v>
      </c>
      <c r="B14" s="594" t="s">
        <v>561</v>
      </c>
      <c r="C14" s="595">
        <v>0</v>
      </c>
      <c r="D14" s="595">
        <v>0</v>
      </c>
      <c r="E14" s="595">
        <v>211678</v>
      </c>
      <c r="F14" s="595">
        <v>0</v>
      </c>
      <c r="G14" s="595">
        <v>0</v>
      </c>
      <c r="H14" s="595">
        <v>0</v>
      </c>
      <c r="I14" s="595">
        <f t="shared" ref="I14:I21" si="0">SUM(C14:H14)</f>
        <v>211678</v>
      </c>
    </row>
    <row r="15" spans="1:9" x14ac:dyDescent="0.2">
      <c r="A15" s="596" t="s">
        <v>480</v>
      </c>
      <c r="B15" s="597" t="s">
        <v>562</v>
      </c>
      <c r="C15" s="598">
        <f t="shared" ref="C15:H15" si="1">SUM(C11:C14)</f>
        <v>0</v>
      </c>
      <c r="D15" s="598">
        <f t="shared" si="1"/>
        <v>30575278</v>
      </c>
      <c r="E15" s="598">
        <f t="shared" si="1"/>
        <v>583188</v>
      </c>
      <c r="F15" s="598">
        <f t="shared" si="1"/>
        <v>0</v>
      </c>
      <c r="G15" s="598">
        <f t="shared" si="1"/>
        <v>31353188</v>
      </c>
      <c r="H15" s="598">
        <f t="shared" si="1"/>
        <v>0</v>
      </c>
      <c r="I15" s="598">
        <f>SUM(C15:H15)</f>
        <v>62511654</v>
      </c>
    </row>
    <row r="16" spans="1:9" x14ac:dyDescent="0.2">
      <c r="A16" s="593" t="s">
        <v>486</v>
      </c>
      <c r="B16" s="594" t="s">
        <v>564</v>
      </c>
      <c r="C16" s="595">
        <v>0</v>
      </c>
      <c r="D16" s="595">
        <v>0</v>
      </c>
      <c r="E16" s="595">
        <v>211678</v>
      </c>
      <c r="F16" s="595">
        <v>0</v>
      </c>
      <c r="G16" s="595">
        <v>30946788</v>
      </c>
      <c r="H16" s="595">
        <v>0</v>
      </c>
      <c r="I16" s="595">
        <f>SUM(C16:H16)</f>
        <v>31158466</v>
      </c>
    </row>
    <row r="17" spans="1:9" x14ac:dyDescent="0.2">
      <c r="A17" s="596" t="s">
        <v>565</v>
      </c>
      <c r="B17" s="597" t="s">
        <v>566</v>
      </c>
      <c r="C17" s="598">
        <f>C16</f>
        <v>0</v>
      </c>
      <c r="D17" s="598">
        <v>0</v>
      </c>
      <c r="E17" s="598">
        <f>SUM(E16)</f>
        <v>211678</v>
      </c>
      <c r="F17" s="598">
        <f t="shared" ref="F17:I17" si="2">SUM(F16)</f>
        <v>0</v>
      </c>
      <c r="G17" s="598">
        <f t="shared" si="2"/>
        <v>30946788</v>
      </c>
      <c r="H17" s="598">
        <f t="shared" si="2"/>
        <v>0</v>
      </c>
      <c r="I17" s="598">
        <f t="shared" si="2"/>
        <v>31158466</v>
      </c>
    </row>
    <row r="18" spans="1:9" x14ac:dyDescent="0.2">
      <c r="A18" s="596" t="s">
        <v>567</v>
      </c>
      <c r="B18" s="597" t="s">
        <v>568</v>
      </c>
      <c r="C18" s="598">
        <f t="shared" ref="C18:I18" si="3">C10+C15-C17</f>
        <v>9930758</v>
      </c>
      <c r="D18" s="598">
        <f t="shared" si="3"/>
        <v>561721196</v>
      </c>
      <c r="E18" s="598">
        <f t="shared" si="3"/>
        <v>14318781</v>
      </c>
      <c r="F18" s="598">
        <f t="shared" si="3"/>
        <v>0</v>
      </c>
      <c r="G18" s="598">
        <f t="shared" si="3"/>
        <v>406400</v>
      </c>
      <c r="H18" s="598">
        <f t="shared" si="3"/>
        <v>340579060</v>
      </c>
      <c r="I18" s="598">
        <f t="shared" si="3"/>
        <v>926956195</v>
      </c>
    </row>
    <row r="19" spans="1:9" ht="25.5" x14ac:dyDescent="0.2">
      <c r="A19" s="596" t="s">
        <v>569</v>
      </c>
      <c r="B19" s="597" t="s">
        <v>570</v>
      </c>
      <c r="C19" s="598">
        <v>6868996</v>
      </c>
      <c r="D19" s="598">
        <v>54084947</v>
      </c>
      <c r="E19" s="598">
        <v>10560577</v>
      </c>
      <c r="F19" s="598">
        <v>0</v>
      </c>
      <c r="G19" s="598">
        <v>0</v>
      </c>
      <c r="H19" s="598">
        <v>60212181</v>
      </c>
      <c r="I19" s="598">
        <f t="shared" si="0"/>
        <v>131726701</v>
      </c>
    </row>
    <row r="20" spans="1:9" x14ac:dyDescent="0.2">
      <c r="A20" s="593" t="s">
        <v>571</v>
      </c>
      <c r="B20" s="594" t="s">
        <v>572</v>
      </c>
      <c r="C20" s="595">
        <v>1448185</v>
      </c>
      <c r="D20" s="595">
        <v>6533096</v>
      </c>
      <c r="E20" s="595">
        <v>1350387</v>
      </c>
      <c r="F20" s="595">
        <v>0</v>
      </c>
      <c r="G20" s="595">
        <v>0</v>
      </c>
      <c r="H20" s="595">
        <v>15733348</v>
      </c>
      <c r="I20" s="595">
        <f t="shared" si="0"/>
        <v>25065016</v>
      </c>
    </row>
    <row r="21" spans="1:9" x14ac:dyDescent="0.2">
      <c r="A21" s="593" t="s">
        <v>573</v>
      </c>
      <c r="B21" s="594" t="s">
        <v>574</v>
      </c>
      <c r="C21" s="595">
        <v>0</v>
      </c>
      <c r="D21" s="595">
        <v>0</v>
      </c>
      <c r="E21" s="595">
        <v>0</v>
      </c>
      <c r="F21" s="595">
        <v>0</v>
      </c>
      <c r="G21" s="595">
        <v>0</v>
      </c>
      <c r="H21" s="595">
        <v>0</v>
      </c>
      <c r="I21" s="595">
        <f t="shared" si="0"/>
        <v>0</v>
      </c>
    </row>
    <row r="22" spans="1:9" ht="25.5" x14ac:dyDescent="0.2">
      <c r="A22" s="596" t="s">
        <v>575</v>
      </c>
      <c r="B22" s="597" t="s">
        <v>576</v>
      </c>
      <c r="C22" s="598">
        <f>C19+C20-C21</f>
        <v>8317181</v>
      </c>
      <c r="D22" s="598">
        <f t="shared" ref="D22:I22" si="4">D19+D20-D21</f>
        <v>60618043</v>
      </c>
      <c r="E22" s="598">
        <f t="shared" si="4"/>
        <v>11910964</v>
      </c>
      <c r="F22" s="598">
        <f t="shared" si="4"/>
        <v>0</v>
      </c>
      <c r="G22" s="598">
        <f t="shared" si="4"/>
        <v>0</v>
      </c>
      <c r="H22" s="598">
        <f t="shared" si="4"/>
        <v>75945529</v>
      </c>
      <c r="I22" s="598">
        <f t="shared" si="4"/>
        <v>156791717</v>
      </c>
    </row>
    <row r="23" spans="1:9" x14ac:dyDescent="0.2">
      <c r="A23" s="596" t="s">
        <v>577</v>
      </c>
      <c r="B23" s="597" t="s">
        <v>578</v>
      </c>
      <c r="C23" s="598">
        <f>C22</f>
        <v>8317181</v>
      </c>
      <c r="D23" s="598">
        <f t="shared" ref="D23:I23" si="5">D22</f>
        <v>60618043</v>
      </c>
      <c r="E23" s="598">
        <f t="shared" si="5"/>
        <v>11910964</v>
      </c>
      <c r="F23" s="598">
        <f t="shared" si="5"/>
        <v>0</v>
      </c>
      <c r="G23" s="598">
        <f t="shared" si="5"/>
        <v>0</v>
      </c>
      <c r="H23" s="598">
        <f t="shared" si="5"/>
        <v>75945529</v>
      </c>
      <c r="I23" s="598">
        <f t="shared" si="5"/>
        <v>156791717</v>
      </c>
    </row>
    <row r="24" spans="1:9" x14ac:dyDescent="0.2">
      <c r="A24" s="596" t="s">
        <v>579</v>
      </c>
      <c r="B24" s="597" t="s">
        <v>580</v>
      </c>
      <c r="C24" s="598">
        <f>C18-C23</f>
        <v>1613577</v>
      </c>
      <c r="D24" s="598">
        <f t="shared" ref="D24:I24" si="6">D18-D23</f>
        <v>501103153</v>
      </c>
      <c r="E24" s="598">
        <f t="shared" si="6"/>
        <v>2407817</v>
      </c>
      <c r="F24" s="598">
        <f t="shared" si="6"/>
        <v>0</v>
      </c>
      <c r="G24" s="598">
        <f t="shared" si="6"/>
        <v>406400</v>
      </c>
      <c r="H24" s="598">
        <f t="shared" si="6"/>
        <v>264633531</v>
      </c>
      <c r="I24" s="598">
        <f t="shared" si="6"/>
        <v>770164478</v>
      </c>
    </row>
    <row r="25" spans="1:9" x14ac:dyDescent="0.2">
      <c r="A25" s="596" t="s">
        <v>581</v>
      </c>
      <c r="B25" s="606" t="s">
        <v>582</v>
      </c>
      <c r="C25" s="595">
        <v>5542320</v>
      </c>
      <c r="D25" s="595">
        <v>636248</v>
      </c>
      <c r="E25" s="595">
        <v>8424846</v>
      </c>
      <c r="F25" s="606"/>
      <c r="G25" s="606"/>
      <c r="H25" s="606"/>
      <c r="I25" s="595">
        <f>SUM(C25:H25)</f>
        <v>14603414</v>
      </c>
    </row>
  </sheetData>
  <mergeCells count="4">
    <mergeCell ref="A1:I1"/>
    <mergeCell ref="A3:I3"/>
    <mergeCell ref="A4:I4"/>
    <mergeCell ref="A7:I7"/>
  </mergeCells>
  <pageMargins left="0.7" right="0.7" top="0.75" bottom="0.75" header="0.3" footer="0.3"/>
  <pageSetup paperSize="9" scale="6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15"/>
  <sheetViews>
    <sheetView workbookViewId="0">
      <selection sqref="A1:C1"/>
    </sheetView>
  </sheetViews>
  <sheetFormatPr defaultRowHeight="12.75" x14ac:dyDescent="0.2"/>
  <cols>
    <col min="1" max="1" width="7.140625" customWidth="1"/>
    <col min="2" max="2" width="58.7109375" customWidth="1"/>
    <col min="3" max="3" width="12" customWidth="1"/>
  </cols>
  <sheetData>
    <row r="1" spans="1:3" ht="24.75" customHeight="1" x14ac:dyDescent="0.2">
      <c r="A1" s="809" t="s">
        <v>684</v>
      </c>
      <c r="B1" s="809"/>
      <c r="C1" s="809"/>
    </row>
    <row r="2" spans="1:3" x14ac:dyDescent="0.2">
      <c r="A2" s="810" t="s">
        <v>545</v>
      </c>
      <c r="B2" s="810"/>
      <c r="C2" s="810"/>
    </row>
    <row r="3" spans="1:3" x14ac:dyDescent="0.2">
      <c r="A3" s="590"/>
      <c r="B3" s="590"/>
      <c r="C3" s="591" t="s">
        <v>658</v>
      </c>
    </row>
    <row r="4" spans="1:3" x14ac:dyDescent="0.2">
      <c r="A4" s="590"/>
      <c r="B4" s="590"/>
      <c r="C4" s="590"/>
    </row>
    <row r="5" spans="1:3" ht="15.75" x14ac:dyDescent="0.2">
      <c r="A5" s="812" t="s">
        <v>585</v>
      </c>
      <c r="B5" s="813"/>
      <c r="C5" s="813"/>
    </row>
    <row r="6" spans="1:3" ht="15" x14ac:dyDescent="0.2">
      <c r="A6" s="592" t="s">
        <v>468</v>
      </c>
      <c r="B6" s="592" t="s">
        <v>16</v>
      </c>
      <c r="C6" s="592" t="s">
        <v>586</v>
      </c>
    </row>
    <row r="7" spans="1:3" ht="15" x14ac:dyDescent="0.2">
      <c r="A7" s="592">
        <v>1</v>
      </c>
      <c r="B7" s="592">
        <v>2</v>
      </c>
      <c r="C7" s="592">
        <v>3</v>
      </c>
    </row>
    <row r="8" spans="1:3" x14ac:dyDescent="0.2">
      <c r="A8" s="607" t="s">
        <v>555</v>
      </c>
      <c r="B8" s="608" t="s">
        <v>587</v>
      </c>
      <c r="C8" s="595">
        <v>120030512</v>
      </c>
    </row>
    <row r="9" spans="1:3" x14ac:dyDescent="0.2">
      <c r="A9" s="607" t="s">
        <v>472</v>
      </c>
      <c r="B9" s="608" t="s">
        <v>588</v>
      </c>
      <c r="C9" s="595">
        <v>98419980</v>
      </c>
    </row>
    <row r="10" spans="1:3" x14ac:dyDescent="0.2">
      <c r="A10" s="607" t="s">
        <v>589</v>
      </c>
      <c r="B10" s="597" t="s">
        <v>590</v>
      </c>
      <c r="C10" s="598">
        <f>C8-C9</f>
        <v>21610532</v>
      </c>
    </row>
    <row r="11" spans="1:3" x14ac:dyDescent="0.2">
      <c r="A11" s="607" t="s">
        <v>474</v>
      </c>
      <c r="B11" s="608" t="s">
        <v>591</v>
      </c>
      <c r="C11" s="595">
        <v>26191526</v>
      </c>
    </row>
    <row r="12" spans="1:3" x14ac:dyDescent="0.2">
      <c r="A12" s="607" t="s">
        <v>476</v>
      </c>
      <c r="B12" s="608" t="s">
        <v>592</v>
      </c>
      <c r="C12" s="595">
        <v>39719306</v>
      </c>
    </row>
    <row r="13" spans="1:3" x14ac:dyDescent="0.2">
      <c r="A13" s="607" t="s">
        <v>478</v>
      </c>
      <c r="B13" s="597" t="s">
        <v>593</v>
      </c>
      <c r="C13" s="598">
        <f>C11-C12</f>
        <v>-13527780</v>
      </c>
    </row>
    <row r="14" spans="1:3" x14ac:dyDescent="0.2">
      <c r="A14" s="609" t="s">
        <v>560</v>
      </c>
      <c r="B14" s="597" t="s">
        <v>594</v>
      </c>
      <c r="C14" s="598">
        <f>C10+C13</f>
        <v>8082752</v>
      </c>
    </row>
    <row r="15" spans="1:3" x14ac:dyDescent="0.2">
      <c r="A15" s="609">
        <v>15</v>
      </c>
      <c r="B15" s="597" t="s">
        <v>595</v>
      </c>
      <c r="C15" s="598">
        <v>8082752</v>
      </c>
    </row>
  </sheetData>
  <mergeCells count="3">
    <mergeCell ref="A1:C1"/>
    <mergeCell ref="A2:C2"/>
    <mergeCell ref="A5:C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32"/>
  <sheetViews>
    <sheetView zoomScaleNormal="100" workbookViewId="0">
      <selection sqref="A1:E1"/>
    </sheetView>
  </sheetViews>
  <sheetFormatPr defaultRowHeight="12.75" x14ac:dyDescent="0.2"/>
  <cols>
    <col min="1" max="1" width="9.42578125" customWidth="1"/>
    <col min="2" max="2" width="46.85546875" customWidth="1"/>
    <col min="3" max="3" width="11.85546875" customWidth="1"/>
    <col min="4" max="4" width="12.7109375" customWidth="1"/>
    <col min="5" max="5" width="13" customWidth="1"/>
  </cols>
  <sheetData>
    <row r="1" spans="1:5" x14ac:dyDescent="0.2">
      <c r="A1" s="820" t="s">
        <v>685</v>
      </c>
      <c r="B1" s="820"/>
      <c r="C1" s="820"/>
      <c r="D1" s="820"/>
      <c r="E1" s="820"/>
    </row>
    <row r="2" spans="1:5" x14ac:dyDescent="0.2">
      <c r="A2" s="821" t="s">
        <v>545</v>
      </c>
      <c r="B2" s="821"/>
      <c r="C2" s="821"/>
      <c r="D2" s="821"/>
      <c r="E2" s="821"/>
    </row>
    <row r="3" spans="1:5" x14ac:dyDescent="0.2">
      <c r="A3" s="610"/>
      <c r="B3" s="610"/>
      <c r="C3" s="610"/>
      <c r="D3" s="610"/>
      <c r="E3" s="610" t="s">
        <v>628</v>
      </c>
    </row>
    <row r="4" spans="1:5" x14ac:dyDescent="0.2">
      <c r="A4" s="611"/>
      <c r="B4" s="611"/>
      <c r="C4" s="611"/>
      <c r="D4" s="611"/>
      <c r="E4" s="611" t="s">
        <v>632</v>
      </c>
    </row>
    <row r="5" spans="1:5" x14ac:dyDescent="0.2">
      <c r="A5" s="818" t="s">
        <v>596</v>
      </c>
      <c r="B5" s="819"/>
      <c r="C5" s="819"/>
      <c r="D5" s="819"/>
      <c r="E5" s="819"/>
    </row>
    <row r="6" spans="1:5" ht="25.5" x14ac:dyDescent="0.2">
      <c r="A6" s="612" t="s">
        <v>468</v>
      </c>
      <c r="B6" s="612" t="s">
        <v>16</v>
      </c>
      <c r="C6" s="612" t="s">
        <v>469</v>
      </c>
      <c r="D6" s="612" t="s">
        <v>470</v>
      </c>
      <c r="E6" s="612" t="s">
        <v>471</v>
      </c>
    </row>
    <row r="7" spans="1:5" x14ac:dyDescent="0.2">
      <c r="A7" s="612">
        <v>1</v>
      </c>
      <c r="B7" s="612">
        <v>2</v>
      </c>
      <c r="C7" s="612">
        <v>3</v>
      </c>
      <c r="D7" s="612">
        <v>4</v>
      </c>
      <c r="E7" s="612">
        <v>5</v>
      </c>
    </row>
    <row r="8" spans="1:5" x14ac:dyDescent="0.2">
      <c r="A8" s="593" t="s">
        <v>555</v>
      </c>
      <c r="B8" s="594" t="s">
        <v>597</v>
      </c>
      <c r="C8" s="595">
        <v>24221609</v>
      </c>
      <c r="D8" s="595">
        <v>0</v>
      </c>
      <c r="E8" s="595">
        <v>20414991</v>
      </c>
    </row>
    <row r="9" spans="1:5" ht="25.5" x14ac:dyDescent="0.2">
      <c r="A9" s="593" t="s">
        <v>472</v>
      </c>
      <c r="B9" s="594" t="s">
        <v>598</v>
      </c>
      <c r="C9" s="595">
        <v>4790750</v>
      </c>
      <c r="D9" s="595">
        <v>0</v>
      </c>
      <c r="E9" s="595">
        <v>1413410</v>
      </c>
    </row>
    <row r="10" spans="1:5" ht="25.5" x14ac:dyDescent="0.2">
      <c r="A10" s="593" t="s">
        <v>589</v>
      </c>
      <c r="B10" s="594" t="s">
        <v>599</v>
      </c>
      <c r="C10" s="595">
        <v>2247433</v>
      </c>
      <c r="D10" s="595">
        <v>0</v>
      </c>
      <c r="E10" s="595">
        <v>6528235</v>
      </c>
    </row>
    <row r="11" spans="1:5" ht="25.5" x14ac:dyDescent="0.2">
      <c r="A11" s="596" t="s">
        <v>474</v>
      </c>
      <c r="B11" s="597" t="s">
        <v>600</v>
      </c>
      <c r="C11" s="598">
        <f>SUM(C8:C10)</f>
        <v>31259792</v>
      </c>
      <c r="D11" s="598">
        <f t="shared" ref="D11:E11" si="0">SUM(D8:D10)</f>
        <v>0</v>
      </c>
      <c r="E11" s="598">
        <f t="shared" si="0"/>
        <v>28356636</v>
      </c>
    </row>
    <row r="12" spans="1:5" ht="25.5" x14ac:dyDescent="0.2">
      <c r="A12" s="593" t="s">
        <v>480</v>
      </c>
      <c r="B12" s="594" t="s">
        <v>601</v>
      </c>
      <c r="C12" s="595">
        <v>74147497</v>
      </c>
      <c r="D12" s="595">
        <v>0</v>
      </c>
      <c r="E12" s="595">
        <v>70771516</v>
      </c>
    </row>
    <row r="13" spans="1:5" ht="25.5" x14ac:dyDescent="0.2">
      <c r="A13" s="593" t="s">
        <v>563</v>
      </c>
      <c r="B13" s="594" t="s">
        <v>602</v>
      </c>
      <c r="C13" s="595">
        <v>4064635</v>
      </c>
      <c r="D13" s="595">
        <v>0</v>
      </c>
      <c r="E13" s="595">
        <v>1637579</v>
      </c>
    </row>
    <row r="14" spans="1:5" ht="25.5" x14ac:dyDescent="0.2">
      <c r="A14" s="593" t="s">
        <v>482</v>
      </c>
      <c r="B14" s="594" t="s">
        <v>603</v>
      </c>
      <c r="C14" s="595">
        <v>8007551</v>
      </c>
      <c r="D14" s="595">
        <v>0</v>
      </c>
      <c r="E14" s="595">
        <v>108455422</v>
      </c>
    </row>
    <row r="15" spans="1:5" x14ac:dyDescent="0.2">
      <c r="A15" s="593" t="s">
        <v>484</v>
      </c>
      <c r="B15" s="594" t="s">
        <v>604</v>
      </c>
      <c r="C15" s="595">
        <v>10895252</v>
      </c>
      <c r="D15" s="595">
        <v>0</v>
      </c>
      <c r="E15" s="595">
        <v>11323500</v>
      </c>
    </row>
    <row r="16" spans="1:5" ht="25.5" x14ac:dyDescent="0.2">
      <c r="A16" s="596" t="s">
        <v>605</v>
      </c>
      <c r="B16" s="597" t="s">
        <v>606</v>
      </c>
      <c r="C16" s="598">
        <f>SUM(C12:C15)</f>
        <v>97114935</v>
      </c>
      <c r="D16" s="598">
        <f t="shared" ref="D16:E16" si="1">SUM(D12:D15)</f>
        <v>0</v>
      </c>
      <c r="E16" s="598">
        <f t="shared" si="1"/>
        <v>192188017</v>
      </c>
    </row>
    <row r="17" spans="1:5" x14ac:dyDescent="0.2">
      <c r="A17" s="593" t="s">
        <v>486</v>
      </c>
      <c r="B17" s="594" t="s">
        <v>607</v>
      </c>
      <c r="C17" s="595">
        <v>3513722</v>
      </c>
      <c r="D17" s="595">
        <v>0</v>
      </c>
      <c r="E17" s="595">
        <v>7014280</v>
      </c>
    </row>
    <row r="18" spans="1:5" x14ac:dyDescent="0.2">
      <c r="A18" s="593" t="s">
        <v>565</v>
      </c>
      <c r="B18" s="594" t="s">
        <v>608</v>
      </c>
      <c r="C18" s="595">
        <v>13279225</v>
      </c>
      <c r="D18" s="595">
        <v>0</v>
      </c>
      <c r="E18" s="595">
        <v>16663764</v>
      </c>
    </row>
    <row r="19" spans="1:5" x14ac:dyDescent="0.2">
      <c r="A19" s="596" t="s">
        <v>571</v>
      </c>
      <c r="B19" s="597" t="s">
        <v>609</v>
      </c>
      <c r="C19" s="598">
        <f>SUM(C17:C18)</f>
        <v>16792947</v>
      </c>
      <c r="D19" s="598">
        <f t="shared" ref="D19:E19" si="2">SUM(D17:D18)</f>
        <v>0</v>
      </c>
      <c r="E19" s="598">
        <f t="shared" si="2"/>
        <v>23678044</v>
      </c>
    </row>
    <row r="20" spans="1:5" x14ac:dyDescent="0.2">
      <c r="A20" s="593" t="s">
        <v>573</v>
      </c>
      <c r="B20" s="594" t="s">
        <v>610</v>
      </c>
      <c r="C20" s="595">
        <v>9997847</v>
      </c>
      <c r="D20" s="595">
        <v>0</v>
      </c>
      <c r="E20" s="595">
        <v>9971831</v>
      </c>
    </row>
    <row r="21" spans="1:5" x14ac:dyDescent="0.2">
      <c r="A21" s="593" t="s">
        <v>575</v>
      </c>
      <c r="B21" s="594" t="s">
        <v>611</v>
      </c>
      <c r="C21" s="595">
        <v>1494490</v>
      </c>
      <c r="D21" s="595">
        <v>0</v>
      </c>
      <c r="E21" s="595">
        <v>4330797</v>
      </c>
    </row>
    <row r="22" spans="1:5" x14ac:dyDescent="0.2">
      <c r="A22" s="593" t="s">
        <v>612</v>
      </c>
      <c r="B22" s="594" t="s">
        <v>613</v>
      </c>
      <c r="C22" s="595">
        <v>2101015</v>
      </c>
      <c r="D22" s="595">
        <v>0</v>
      </c>
      <c r="E22" s="595">
        <v>2686487</v>
      </c>
    </row>
    <row r="23" spans="1:5" x14ac:dyDescent="0.2">
      <c r="A23" s="596" t="s">
        <v>487</v>
      </c>
      <c r="B23" s="597" t="s">
        <v>614</v>
      </c>
      <c r="C23" s="598">
        <f>SUM(C20:C22)</f>
        <v>13593352</v>
      </c>
      <c r="D23" s="598">
        <v>0</v>
      </c>
      <c r="E23" s="598">
        <f>SUM(E20:E22)</f>
        <v>16989115</v>
      </c>
    </row>
    <row r="24" spans="1:5" x14ac:dyDescent="0.2">
      <c r="A24" s="596" t="s">
        <v>615</v>
      </c>
      <c r="B24" s="597" t="s">
        <v>616</v>
      </c>
      <c r="C24" s="598">
        <v>26581330</v>
      </c>
      <c r="D24" s="598">
        <v>0</v>
      </c>
      <c r="E24" s="598">
        <v>25065016</v>
      </c>
    </row>
    <row r="25" spans="1:5" x14ac:dyDescent="0.2">
      <c r="A25" s="596" t="s">
        <v>617</v>
      </c>
      <c r="B25" s="597" t="s">
        <v>618</v>
      </c>
      <c r="C25" s="598">
        <v>79001902</v>
      </c>
      <c r="D25" s="598">
        <v>0</v>
      </c>
      <c r="E25" s="598">
        <v>68905338</v>
      </c>
    </row>
    <row r="26" spans="1:5" ht="25.5" x14ac:dyDescent="0.2">
      <c r="A26" s="596" t="s">
        <v>577</v>
      </c>
      <c r="B26" s="597" t="s">
        <v>619</v>
      </c>
      <c r="C26" s="598">
        <f>C11+C16-C19-C23-C24-C25</f>
        <v>-7594804</v>
      </c>
      <c r="D26" s="598">
        <f t="shared" ref="D26:E26" si="3">D11+D16-D19-D23-D24-D25</f>
        <v>0</v>
      </c>
      <c r="E26" s="598">
        <f t="shared" si="3"/>
        <v>85907140</v>
      </c>
    </row>
    <row r="27" spans="1:5" ht="25.5" x14ac:dyDescent="0.2">
      <c r="A27" s="593" t="s">
        <v>489</v>
      </c>
      <c r="B27" s="594" t="s">
        <v>620</v>
      </c>
      <c r="C27" s="595">
        <v>1454</v>
      </c>
      <c r="D27" s="595">
        <v>0</v>
      </c>
      <c r="E27" s="595">
        <v>1233</v>
      </c>
    </row>
    <row r="28" spans="1:5" ht="25.5" x14ac:dyDescent="0.2">
      <c r="A28" s="596" t="s">
        <v>621</v>
      </c>
      <c r="B28" s="597" t="s">
        <v>622</v>
      </c>
      <c r="C28" s="598">
        <v>1454</v>
      </c>
      <c r="D28" s="598">
        <v>0</v>
      </c>
      <c r="E28" s="598">
        <v>1233</v>
      </c>
    </row>
    <row r="29" spans="1:5" x14ac:dyDescent="0.2">
      <c r="A29" s="593">
        <v>35</v>
      </c>
      <c r="B29" s="594" t="s">
        <v>671</v>
      </c>
      <c r="C29" s="598">
        <v>0</v>
      </c>
      <c r="D29" s="598"/>
      <c r="E29" s="598">
        <v>2375</v>
      </c>
    </row>
    <row r="30" spans="1:5" x14ac:dyDescent="0.2">
      <c r="A30" s="596">
        <v>42</v>
      </c>
      <c r="B30" s="597" t="s">
        <v>623</v>
      </c>
      <c r="C30" s="598">
        <v>0</v>
      </c>
      <c r="D30" s="598"/>
      <c r="E30" s="598">
        <v>2375</v>
      </c>
    </row>
    <row r="31" spans="1:5" x14ac:dyDescent="0.2">
      <c r="A31" s="596" t="s">
        <v>624</v>
      </c>
      <c r="B31" s="597" t="s">
        <v>625</v>
      </c>
      <c r="C31" s="598">
        <v>1454</v>
      </c>
      <c r="D31" s="598">
        <v>0</v>
      </c>
      <c r="E31" s="598">
        <v>-1142</v>
      </c>
    </row>
    <row r="32" spans="1:5" x14ac:dyDescent="0.2">
      <c r="A32" s="596" t="s">
        <v>626</v>
      </c>
      <c r="B32" s="597" t="s">
        <v>627</v>
      </c>
      <c r="C32" s="598">
        <f>C26+C31</f>
        <v>-7593350</v>
      </c>
      <c r="D32" s="598">
        <f t="shared" ref="D32:E32" si="4">D26+D31</f>
        <v>0</v>
      </c>
      <c r="E32" s="598">
        <f t="shared" si="4"/>
        <v>85905998</v>
      </c>
    </row>
  </sheetData>
  <mergeCells count="3">
    <mergeCell ref="A1:E1"/>
    <mergeCell ref="A2:E2"/>
    <mergeCell ref="A5:E5"/>
  </mergeCells>
  <pageMargins left="0.7" right="0.7" top="0.75" bottom="0.75" header="0.3" footer="0.3"/>
  <pageSetup paperSize="9" scale="9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39"/>
  <sheetViews>
    <sheetView zoomScaleNormal="100" workbookViewId="0">
      <selection sqref="A1:D1"/>
    </sheetView>
  </sheetViews>
  <sheetFormatPr defaultRowHeight="12.75" x14ac:dyDescent="0.2"/>
  <cols>
    <col min="1" max="1" width="7" customWidth="1"/>
    <col min="2" max="2" width="69.5703125" customWidth="1"/>
    <col min="3" max="3" width="16.7109375" customWidth="1"/>
    <col min="4" max="4" width="15.28515625" customWidth="1"/>
  </cols>
  <sheetData>
    <row r="1" spans="1:4" x14ac:dyDescent="0.2">
      <c r="A1" s="820" t="s">
        <v>683</v>
      </c>
      <c r="B1" s="820"/>
      <c r="C1" s="820"/>
      <c r="D1" s="820"/>
    </row>
    <row r="2" spans="1:4" x14ac:dyDescent="0.2">
      <c r="A2" s="602"/>
      <c r="B2" s="602"/>
      <c r="C2" s="624"/>
      <c r="D2" s="602"/>
    </row>
    <row r="3" spans="1:4" x14ac:dyDescent="0.2">
      <c r="A3" s="822" t="s">
        <v>60</v>
      </c>
      <c r="B3" s="822"/>
      <c r="C3" s="822"/>
      <c r="D3" s="602"/>
    </row>
    <row r="4" spans="1:4" x14ac:dyDescent="0.2">
      <c r="A4" s="613"/>
      <c r="B4" s="613"/>
      <c r="C4" s="613"/>
      <c r="D4" s="623" t="s">
        <v>631</v>
      </c>
    </row>
    <row r="5" spans="1:4" x14ac:dyDescent="0.2">
      <c r="A5" s="613"/>
      <c r="B5" s="613"/>
      <c r="C5" s="613"/>
      <c r="D5" s="623" t="s">
        <v>632</v>
      </c>
    </row>
    <row r="6" spans="1:4" ht="16.5" customHeight="1" x14ac:dyDescent="0.2">
      <c r="A6" s="818" t="s">
        <v>629</v>
      </c>
      <c r="B6" s="819"/>
      <c r="C6" s="819"/>
      <c r="D6" s="819"/>
    </row>
    <row r="7" spans="1:4" x14ac:dyDescent="0.2">
      <c r="A7" s="605" t="s">
        <v>468</v>
      </c>
      <c r="B7" s="605" t="s">
        <v>16</v>
      </c>
      <c r="C7" s="605" t="s">
        <v>469</v>
      </c>
      <c r="D7" s="605" t="s">
        <v>471</v>
      </c>
    </row>
    <row r="8" spans="1:4" x14ac:dyDescent="0.2">
      <c r="A8" s="605">
        <v>1</v>
      </c>
      <c r="B8" s="605">
        <v>2</v>
      </c>
      <c r="C8" s="605">
        <v>3</v>
      </c>
      <c r="D8" s="605">
        <v>5</v>
      </c>
    </row>
    <row r="9" spans="1:4" x14ac:dyDescent="0.2">
      <c r="A9" s="593" t="s">
        <v>478</v>
      </c>
      <c r="B9" s="594" t="s">
        <v>479</v>
      </c>
      <c r="C9" s="595">
        <v>159315</v>
      </c>
      <c r="D9" s="595">
        <v>115829</v>
      </c>
    </row>
    <row r="10" spans="1:4" x14ac:dyDescent="0.2">
      <c r="A10" s="596" t="s">
        <v>482</v>
      </c>
      <c r="B10" s="597" t="s">
        <v>483</v>
      </c>
      <c r="C10" s="598">
        <f>SUM(C9:C9)</f>
        <v>159315</v>
      </c>
      <c r="D10" s="598">
        <f>SUM(D9:D9)</f>
        <v>115829</v>
      </c>
    </row>
    <row r="11" spans="1:4" ht="25.5" x14ac:dyDescent="0.2">
      <c r="A11" s="596" t="s">
        <v>489</v>
      </c>
      <c r="B11" s="597" t="s">
        <v>490</v>
      </c>
      <c r="C11" s="598">
        <f t="shared" ref="C11" si="0">C10</f>
        <v>159315</v>
      </c>
      <c r="D11" s="598">
        <f>D10</f>
        <v>115829</v>
      </c>
    </row>
    <row r="12" spans="1:4" s="588" customFormat="1" x14ac:dyDescent="0.2">
      <c r="A12" s="593">
        <v>29</v>
      </c>
      <c r="B12" s="594" t="s">
        <v>646</v>
      </c>
      <c r="C12" s="595">
        <v>0</v>
      </c>
      <c r="D12" s="595">
        <v>416918</v>
      </c>
    </row>
    <row r="13" spans="1:4" s="625" customFormat="1" x14ac:dyDescent="0.2">
      <c r="A13" s="596">
        <v>34</v>
      </c>
      <c r="B13" s="597" t="s">
        <v>647</v>
      </c>
      <c r="C13" s="598">
        <v>0</v>
      </c>
      <c r="D13" s="598">
        <v>416918</v>
      </c>
    </row>
    <row r="14" spans="1:4" s="625" customFormat="1" x14ac:dyDescent="0.2">
      <c r="A14" s="596">
        <v>43</v>
      </c>
      <c r="B14" s="597" t="s">
        <v>648</v>
      </c>
      <c r="C14" s="598">
        <v>0</v>
      </c>
      <c r="D14" s="598">
        <f>SUM(D13)</f>
        <v>416918</v>
      </c>
    </row>
    <row r="15" spans="1:4" x14ac:dyDescent="0.2">
      <c r="A15" s="593">
        <v>47</v>
      </c>
      <c r="B15" s="594" t="s">
        <v>492</v>
      </c>
      <c r="C15" s="595">
        <v>716050</v>
      </c>
      <c r="D15" s="595">
        <v>46810</v>
      </c>
    </row>
    <row r="16" spans="1:4" x14ac:dyDescent="0.2">
      <c r="A16" s="596">
        <v>50</v>
      </c>
      <c r="B16" s="597" t="s">
        <v>494</v>
      </c>
      <c r="C16" s="598">
        <f>C15</f>
        <v>716050</v>
      </c>
      <c r="D16" s="598">
        <f>D15</f>
        <v>46810</v>
      </c>
    </row>
    <row r="17" spans="1:4" x14ac:dyDescent="0.2">
      <c r="A17" s="593">
        <v>51</v>
      </c>
      <c r="B17" s="594" t="s">
        <v>496</v>
      </c>
      <c r="C17" s="595">
        <v>1597127</v>
      </c>
      <c r="D17" s="595">
        <v>1344737</v>
      </c>
    </row>
    <row r="18" spans="1:4" x14ac:dyDescent="0.2">
      <c r="A18" s="596">
        <v>53</v>
      </c>
      <c r="B18" s="597" t="s">
        <v>498</v>
      </c>
      <c r="C18" s="598">
        <f>C17</f>
        <v>1597127</v>
      </c>
      <c r="D18" s="598">
        <f>D17</f>
        <v>1344737</v>
      </c>
    </row>
    <row r="19" spans="1:4" x14ac:dyDescent="0.2">
      <c r="A19" s="596">
        <v>57</v>
      </c>
      <c r="B19" s="597" t="s">
        <v>500</v>
      </c>
      <c r="C19" s="598">
        <f>C16+C18</f>
        <v>2313177</v>
      </c>
      <c r="D19" s="598">
        <f t="shared" ref="D19" si="1">D16+D18</f>
        <v>1391547</v>
      </c>
    </row>
    <row r="20" spans="1:4" x14ac:dyDescent="0.2">
      <c r="A20" s="593">
        <v>143</v>
      </c>
      <c r="B20" s="594" t="s">
        <v>516</v>
      </c>
      <c r="C20" s="595">
        <v>0</v>
      </c>
      <c r="D20" s="595">
        <v>35519</v>
      </c>
    </row>
    <row r="21" spans="1:4" x14ac:dyDescent="0.2">
      <c r="A21" s="593">
        <v>149</v>
      </c>
      <c r="B21" s="594" t="s">
        <v>519</v>
      </c>
      <c r="C21" s="595">
        <v>0</v>
      </c>
      <c r="D21" s="595">
        <v>35519</v>
      </c>
    </row>
    <row r="22" spans="1:4" x14ac:dyDescent="0.2">
      <c r="A22" s="596">
        <v>158</v>
      </c>
      <c r="B22" s="597" t="s">
        <v>522</v>
      </c>
      <c r="C22" s="598">
        <v>0</v>
      </c>
      <c r="D22" s="598">
        <f>SUM(D21)</f>
        <v>35519</v>
      </c>
    </row>
    <row r="23" spans="1:4" x14ac:dyDescent="0.2">
      <c r="A23" s="596">
        <v>159</v>
      </c>
      <c r="B23" s="597" t="s">
        <v>524</v>
      </c>
      <c r="C23" s="598">
        <f>C22</f>
        <v>0</v>
      </c>
      <c r="D23" s="598">
        <f>D22</f>
        <v>35519</v>
      </c>
    </row>
    <row r="24" spans="1:4" s="588" customFormat="1" x14ac:dyDescent="0.2">
      <c r="A24" s="593">
        <v>161</v>
      </c>
      <c r="B24" s="594" t="s">
        <v>649</v>
      </c>
      <c r="C24" s="595">
        <v>2439176</v>
      </c>
      <c r="D24" s="595">
        <v>0</v>
      </c>
    </row>
    <row r="25" spans="1:4" x14ac:dyDescent="0.2">
      <c r="A25" s="596">
        <v>164</v>
      </c>
      <c r="B25" s="597" t="s">
        <v>650</v>
      </c>
      <c r="C25" s="598">
        <v>2439176</v>
      </c>
      <c r="D25" s="598">
        <v>0</v>
      </c>
    </row>
    <row r="26" spans="1:4" s="588" customFormat="1" x14ac:dyDescent="0.2">
      <c r="A26" s="593">
        <v>166</v>
      </c>
      <c r="B26" s="594" t="s">
        <v>651</v>
      </c>
      <c r="C26" s="595">
        <v>-1777963</v>
      </c>
      <c r="D26" s="595">
        <v>-503000</v>
      </c>
    </row>
    <row r="27" spans="1:4" x14ac:dyDescent="0.2">
      <c r="A27" s="596">
        <v>167</v>
      </c>
      <c r="B27" s="597" t="s">
        <v>652</v>
      </c>
      <c r="C27" s="598">
        <f>SUM(C26)</f>
        <v>-1777963</v>
      </c>
      <c r="D27" s="598">
        <f>SUM(D26)</f>
        <v>-503000</v>
      </c>
    </row>
    <row r="28" spans="1:4" x14ac:dyDescent="0.2">
      <c r="A28" s="596">
        <v>171</v>
      </c>
      <c r="B28" s="597" t="s">
        <v>653</v>
      </c>
      <c r="C28" s="598">
        <f>C25+C27</f>
        <v>661213</v>
      </c>
      <c r="D28" s="598">
        <f>D25+D27</f>
        <v>-503000</v>
      </c>
    </row>
    <row r="29" spans="1:4" x14ac:dyDescent="0.2">
      <c r="A29" s="596">
        <v>176</v>
      </c>
      <c r="B29" s="597" t="s">
        <v>526</v>
      </c>
      <c r="C29" s="598">
        <f>C11+C14+C19+C23+C28</f>
        <v>3133705</v>
      </c>
      <c r="D29" s="598">
        <f>D11+D14+D19+D23+D28</f>
        <v>1456813</v>
      </c>
    </row>
    <row r="30" spans="1:4" x14ac:dyDescent="0.2">
      <c r="A30" s="593">
        <v>177</v>
      </c>
      <c r="B30" s="594" t="s">
        <v>527</v>
      </c>
      <c r="C30" s="595">
        <v>608262</v>
      </c>
      <c r="D30" s="595">
        <v>608262</v>
      </c>
    </row>
    <row r="31" spans="1:4" x14ac:dyDescent="0.2">
      <c r="A31" s="593">
        <v>178</v>
      </c>
      <c r="B31" s="594" t="s">
        <v>630</v>
      </c>
      <c r="C31" s="595">
        <v>0</v>
      </c>
      <c r="D31" s="595">
        <v>0</v>
      </c>
    </row>
    <row r="32" spans="1:4" x14ac:dyDescent="0.2">
      <c r="A32" s="593">
        <v>179</v>
      </c>
      <c r="B32" s="594" t="s">
        <v>654</v>
      </c>
      <c r="C32" s="595">
        <v>488971</v>
      </c>
      <c r="D32" s="595">
        <v>488971</v>
      </c>
    </row>
    <row r="33" spans="1:4" x14ac:dyDescent="0.2">
      <c r="A33" s="593">
        <v>180</v>
      </c>
      <c r="B33" s="594" t="s">
        <v>529</v>
      </c>
      <c r="C33" s="595">
        <v>-1742478</v>
      </c>
      <c r="D33" s="595">
        <v>-333899</v>
      </c>
    </row>
    <row r="34" spans="1:4" x14ac:dyDescent="0.2">
      <c r="A34" s="593">
        <v>182</v>
      </c>
      <c r="B34" s="594" t="s">
        <v>530</v>
      </c>
      <c r="C34" s="595">
        <v>1408579</v>
      </c>
      <c r="D34" s="595">
        <v>-1855176</v>
      </c>
    </row>
    <row r="35" spans="1:4" x14ac:dyDescent="0.2">
      <c r="A35" s="596">
        <v>183</v>
      </c>
      <c r="B35" s="597" t="s">
        <v>531</v>
      </c>
      <c r="C35" s="598">
        <f>SUM(C30:C34)</f>
        <v>763334</v>
      </c>
      <c r="D35" s="598">
        <f>SUM(D30:D34)</f>
        <v>-1091842</v>
      </c>
    </row>
    <row r="36" spans="1:4" x14ac:dyDescent="0.2">
      <c r="A36" s="596">
        <v>249</v>
      </c>
      <c r="B36" s="597" t="s">
        <v>540</v>
      </c>
      <c r="C36" s="598">
        <v>0</v>
      </c>
      <c r="D36" s="598">
        <v>0</v>
      </c>
    </row>
    <row r="37" spans="1:4" x14ac:dyDescent="0.2">
      <c r="A37" s="593">
        <v>247</v>
      </c>
      <c r="B37" s="594" t="s">
        <v>541</v>
      </c>
      <c r="C37" s="595">
        <v>2370371</v>
      </c>
      <c r="D37" s="595">
        <v>2548655</v>
      </c>
    </row>
    <row r="38" spans="1:4" x14ac:dyDescent="0.2">
      <c r="A38" s="596">
        <v>249</v>
      </c>
      <c r="B38" s="597" t="s">
        <v>543</v>
      </c>
      <c r="C38" s="598">
        <f>SUM(C37)</f>
        <v>2370371</v>
      </c>
      <c r="D38" s="598">
        <f t="shared" ref="D38" si="2">SUM(D37)</f>
        <v>2548655</v>
      </c>
    </row>
    <row r="39" spans="1:4" x14ac:dyDescent="0.2">
      <c r="A39" s="596">
        <v>250</v>
      </c>
      <c r="B39" s="597" t="s">
        <v>544</v>
      </c>
      <c r="C39" s="598">
        <f>C35+C36+C38</f>
        <v>3133705</v>
      </c>
      <c r="D39" s="598">
        <f>D35+D36+D38</f>
        <v>1456813</v>
      </c>
    </row>
  </sheetData>
  <mergeCells count="3">
    <mergeCell ref="A1:D1"/>
    <mergeCell ref="A3:C3"/>
    <mergeCell ref="A6:D6"/>
  </mergeCells>
  <pageMargins left="0.7" right="0.7" top="0.75" bottom="0.75" header="0.3" footer="0.3"/>
  <pageSetup paperSize="9" scale="7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16"/>
  <sheetViews>
    <sheetView zoomScaleNormal="100" workbookViewId="0">
      <selection sqref="A1:C1"/>
    </sheetView>
  </sheetViews>
  <sheetFormatPr defaultRowHeight="12.75" x14ac:dyDescent="0.2"/>
  <cols>
    <col min="1" max="1" width="9" customWidth="1"/>
    <col min="2" max="2" width="52.85546875" customWidth="1"/>
    <col min="3" max="3" width="21.5703125" customWidth="1"/>
  </cols>
  <sheetData>
    <row r="1" spans="1:3" x14ac:dyDescent="0.2">
      <c r="A1" s="820" t="s">
        <v>686</v>
      </c>
      <c r="B1" s="820"/>
      <c r="C1" s="820"/>
    </row>
    <row r="2" spans="1:3" x14ac:dyDescent="0.2">
      <c r="A2" s="823" t="s">
        <v>642</v>
      </c>
      <c r="B2" s="823"/>
      <c r="C2" s="823"/>
    </row>
    <row r="3" spans="1:3" x14ac:dyDescent="0.2">
      <c r="A3" s="616"/>
      <c r="B3" s="616"/>
      <c r="C3" s="616"/>
    </row>
    <row r="4" spans="1:3" x14ac:dyDescent="0.2">
      <c r="A4" s="821" t="s">
        <v>60</v>
      </c>
      <c r="B4" s="821"/>
      <c r="C4" s="821"/>
    </row>
    <row r="5" spans="1:3" ht="13.5" thickBot="1" x14ac:dyDescent="0.25">
      <c r="A5" s="617"/>
      <c r="B5" s="618"/>
      <c r="C5" s="619"/>
    </row>
    <row r="6" spans="1:3" ht="21" customHeight="1" x14ac:dyDescent="0.2">
      <c r="A6" s="824" t="s">
        <v>585</v>
      </c>
      <c r="B6" s="819"/>
      <c r="C6" s="819"/>
    </row>
    <row r="7" spans="1:3" ht="15" x14ac:dyDescent="0.2">
      <c r="A7" s="592" t="s">
        <v>468</v>
      </c>
      <c r="B7" s="620" t="s">
        <v>16</v>
      </c>
      <c r="C7" s="592" t="s">
        <v>586</v>
      </c>
    </row>
    <row r="8" spans="1:3" ht="15" x14ac:dyDescent="0.2">
      <c r="A8" s="592">
        <v>1</v>
      </c>
      <c r="B8" s="620">
        <v>2</v>
      </c>
      <c r="C8" s="592">
        <v>3</v>
      </c>
    </row>
    <row r="9" spans="1:3" x14ac:dyDescent="0.2">
      <c r="A9" s="593" t="s">
        <v>555</v>
      </c>
      <c r="B9" s="621" t="s">
        <v>635</v>
      </c>
      <c r="C9" s="595">
        <v>9350755</v>
      </c>
    </row>
    <row r="10" spans="1:3" x14ac:dyDescent="0.2">
      <c r="A10" s="593" t="s">
        <v>472</v>
      </c>
      <c r="B10" s="621" t="s">
        <v>636</v>
      </c>
      <c r="C10" s="595">
        <v>47367241</v>
      </c>
    </row>
    <row r="11" spans="1:3" ht="25.5" x14ac:dyDescent="0.2">
      <c r="A11" s="596" t="s">
        <v>589</v>
      </c>
      <c r="B11" s="622" t="s">
        <v>637</v>
      </c>
      <c r="C11" s="598">
        <f>C9-C10</f>
        <v>-38016486</v>
      </c>
    </row>
    <row r="12" spans="1:3" x14ac:dyDescent="0.2">
      <c r="A12" s="593" t="s">
        <v>474</v>
      </c>
      <c r="B12" s="621" t="s">
        <v>638</v>
      </c>
      <c r="C12" s="595">
        <v>38717552</v>
      </c>
    </row>
    <row r="13" spans="1:3" x14ac:dyDescent="0.2">
      <c r="A13" s="593" t="s">
        <v>476</v>
      </c>
      <c r="B13" s="621" t="s">
        <v>645</v>
      </c>
      <c r="C13" s="595">
        <v>0</v>
      </c>
    </row>
    <row r="14" spans="1:3" ht="25.5" x14ac:dyDescent="0.2">
      <c r="A14" s="596" t="s">
        <v>478</v>
      </c>
      <c r="B14" s="622" t="s">
        <v>639</v>
      </c>
      <c r="C14" s="598">
        <v>38717552</v>
      </c>
    </row>
    <row r="15" spans="1:3" x14ac:dyDescent="0.2">
      <c r="A15" s="596" t="s">
        <v>560</v>
      </c>
      <c r="B15" s="622" t="s">
        <v>640</v>
      </c>
      <c r="C15" s="598">
        <f>C11+C14</f>
        <v>701066</v>
      </c>
    </row>
    <row r="16" spans="1:3" x14ac:dyDescent="0.2">
      <c r="A16" s="596" t="s">
        <v>567</v>
      </c>
      <c r="B16" s="622" t="s">
        <v>641</v>
      </c>
      <c r="C16" s="598">
        <v>701066</v>
      </c>
    </row>
  </sheetData>
  <mergeCells count="4">
    <mergeCell ref="A1:C1"/>
    <mergeCell ref="A2:C2"/>
    <mergeCell ref="A4:C4"/>
    <mergeCell ref="A6:C6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24"/>
  <sheetViews>
    <sheetView workbookViewId="0">
      <selection sqref="A1:I1"/>
    </sheetView>
  </sheetViews>
  <sheetFormatPr defaultRowHeight="12.75" x14ac:dyDescent="0.2"/>
  <cols>
    <col min="1" max="1" width="8.28515625" customWidth="1"/>
    <col min="2" max="2" width="41.7109375" customWidth="1"/>
    <col min="3" max="3" width="10.7109375" customWidth="1"/>
    <col min="4" max="4" width="12.7109375" customWidth="1"/>
    <col min="5" max="5" width="13.7109375" customWidth="1"/>
    <col min="6" max="6" width="14.140625" customWidth="1"/>
    <col min="7" max="7" width="11.7109375" customWidth="1"/>
    <col min="8" max="8" width="13.42578125" customWidth="1"/>
  </cols>
  <sheetData>
    <row r="1" spans="1:9" x14ac:dyDescent="0.2">
      <c r="A1" s="809" t="s">
        <v>687</v>
      </c>
      <c r="B1" s="809"/>
      <c r="C1" s="809"/>
      <c r="D1" s="809"/>
      <c r="E1" s="809"/>
      <c r="F1" s="809"/>
      <c r="G1" s="809"/>
      <c r="H1" s="809"/>
      <c r="I1" s="809"/>
    </row>
    <row r="2" spans="1:9" x14ac:dyDescent="0.2">
      <c r="A2" s="822" t="s">
        <v>60</v>
      </c>
      <c r="B2" s="822"/>
      <c r="C2" s="822"/>
      <c r="D2" s="822"/>
      <c r="E2" s="822"/>
      <c r="F2" s="822"/>
      <c r="G2" s="822"/>
      <c r="H2" s="822"/>
      <c r="I2" s="822"/>
    </row>
    <row r="3" spans="1:9" x14ac:dyDescent="0.2">
      <c r="B3" s="614"/>
    </row>
    <row r="4" spans="1:9" x14ac:dyDescent="0.2">
      <c r="A4" s="825" t="s">
        <v>634</v>
      </c>
      <c r="B4" s="825"/>
      <c r="C4" s="825"/>
      <c r="D4" s="825"/>
      <c r="E4" s="825"/>
      <c r="F4" s="825"/>
      <c r="G4" s="825"/>
      <c r="H4" s="825"/>
      <c r="I4" s="825"/>
    </row>
    <row r="5" spans="1:9" x14ac:dyDescent="0.2">
      <c r="A5" s="588"/>
      <c r="B5" s="603"/>
      <c r="C5" s="588"/>
      <c r="D5" s="588"/>
      <c r="E5" s="588"/>
      <c r="F5" s="588"/>
      <c r="G5" s="588"/>
      <c r="H5" s="602"/>
      <c r="I5" s="588" t="s">
        <v>632</v>
      </c>
    </row>
    <row r="6" spans="1:9" x14ac:dyDescent="0.2">
      <c r="A6" s="818" t="s">
        <v>633</v>
      </c>
      <c r="B6" s="819"/>
      <c r="C6" s="819"/>
      <c r="D6" s="819"/>
      <c r="E6" s="819"/>
      <c r="F6" s="819"/>
      <c r="G6" s="819"/>
      <c r="H6" s="819"/>
      <c r="I6" s="819"/>
    </row>
    <row r="7" spans="1:9" ht="51" x14ac:dyDescent="0.2">
      <c r="A7" s="605" t="s">
        <v>468</v>
      </c>
      <c r="B7" s="605" t="s">
        <v>16</v>
      </c>
      <c r="C7" s="615" t="s">
        <v>548</v>
      </c>
      <c r="D7" s="605" t="s">
        <v>549</v>
      </c>
      <c r="E7" s="605" t="s">
        <v>550</v>
      </c>
      <c r="F7" s="615" t="s">
        <v>551</v>
      </c>
      <c r="G7" s="605" t="s">
        <v>552</v>
      </c>
      <c r="H7" s="605" t="s">
        <v>553</v>
      </c>
      <c r="I7" s="605" t="s">
        <v>554</v>
      </c>
    </row>
    <row r="8" spans="1:9" x14ac:dyDescent="0.2">
      <c r="A8" s="605">
        <v>1</v>
      </c>
      <c r="B8" s="605">
        <v>2</v>
      </c>
      <c r="C8" s="605">
        <v>3</v>
      </c>
      <c r="D8" s="605">
        <v>4</v>
      </c>
      <c r="E8" s="605">
        <v>5</v>
      </c>
      <c r="F8" s="605">
        <v>6</v>
      </c>
      <c r="G8" s="605">
        <v>7</v>
      </c>
      <c r="H8" s="605">
        <v>8</v>
      </c>
      <c r="I8" s="605">
        <v>9</v>
      </c>
    </row>
    <row r="9" spans="1:9" ht="25.5" x14ac:dyDescent="0.2">
      <c r="A9" s="596" t="s">
        <v>555</v>
      </c>
      <c r="B9" s="597" t="s">
        <v>556</v>
      </c>
      <c r="C9" s="598">
        <v>0</v>
      </c>
      <c r="D9" s="598">
        <v>0</v>
      </c>
      <c r="E9" s="598">
        <v>4052663</v>
      </c>
      <c r="F9" s="598">
        <v>0</v>
      </c>
      <c r="G9" s="598">
        <v>0</v>
      </c>
      <c r="H9" s="598">
        <v>0</v>
      </c>
      <c r="I9" s="598">
        <f>SUM(C9:H9)</f>
        <v>4052663</v>
      </c>
    </row>
    <row r="10" spans="1:9" ht="25.5" x14ac:dyDescent="0.2">
      <c r="A10" s="593" t="s">
        <v>472</v>
      </c>
      <c r="B10" s="594" t="s">
        <v>557</v>
      </c>
      <c r="C10" s="595">
        <v>0</v>
      </c>
      <c r="D10" s="595">
        <v>0</v>
      </c>
      <c r="E10" s="595">
        <v>0</v>
      </c>
      <c r="F10" s="595">
        <v>0</v>
      </c>
      <c r="G10" s="595">
        <v>360447</v>
      </c>
      <c r="H10" s="595">
        <v>0</v>
      </c>
      <c r="I10" s="595">
        <f>SUM(C10:H10)</f>
        <v>360447</v>
      </c>
    </row>
    <row r="11" spans="1:9" x14ac:dyDescent="0.2">
      <c r="A11" s="593" t="s">
        <v>589</v>
      </c>
      <c r="B11" s="594" t="s">
        <v>558</v>
      </c>
      <c r="C11" s="595">
        <v>0</v>
      </c>
      <c r="D11" s="595">
        <v>0</v>
      </c>
      <c r="E11" s="595">
        <v>0</v>
      </c>
      <c r="F11" s="595">
        <v>0</v>
      </c>
      <c r="G11" s="595">
        <v>0</v>
      </c>
      <c r="H11" s="595">
        <v>0</v>
      </c>
      <c r="I11" s="595">
        <f>SUM(C11:H11)</f>
        <v>0</v>
      </c>
    </row>
    <row r="12" spans="1:9" x14ac:dyDescent="0.2">
      <c r="A12" s="593" t="s">
        <v>474</v>
      </c>
      <c r="B12" s="594" t="s">
        <v>559</v>
      </c>
      <c r="C12" s="595">
        <v>0</v>
      </c>
      <c r="D12" s="595"/>
      <c r="E12" s="595">
        <v>360447</v>
      </c>
      <c r="F12" s="595">
        <v>0</v>
      </c>
      <c r="G12" s="595">
        <v>0</v>
      </c>
      <c r="H12" s="595">
        <v>0</v>
      </c>
      <c r="I12" s="595">
        <f>SUM(C12:H12)</f>
        <v>360447</v>
      </c>
    </row>
    <row r="13" spans="1:9" x14ac:dyDescent="0.2">
      <c r="A13" s="593" t="s">
        <v>560</v>
      </c>
      <c r="B13" s="594" t="s">
        <v>561</v>
      </c>
      <c r="C13" s="595">
        <v>0</v>
      </c>
      <c r="D13" s="595">
        <v>0</v>
      </c>
      <c r="E13" s="595">
        <v>334795</v>
      </c>
      <c r="F13" s="595">
        <v>0</v>
      </c>
      <c r="G13" s="595">
        <v>0</v>
      </c>
      <c r="H13" s="595">
        <v>0</v>
      </c>
      <c r="I13" s="595">
        <f>SUM(C13:H13)</f>
        <v>334795</v>
      </c>
    </row>
    <row r="14" spans="1:9" x14ac:dyDescent="0.2">
      <c r="A14" s="596" t="s">
        <v>480</v>
      </c>
      <c r="B14" s="597" t="s">
        <v>562</v>
      </c>
      <c r="C14" s="598">
        <v>0</v>
      </c>
      <c r="D14" s="598">
        <f>SUM(D10:D12)</f>
        <v>0</v>
      </c>
      <c r="E14" s="598">
        <f>SUM(E10:E13)</f>
        <v>695242</v>
      </c>
      <c r="F14" s="598">
        <f t="shared" ref="F14" si="0">SUM(F10:F12)</f>
        <v>0</v>
      </c>
      <c r="G14" s="598">
        <f>SUM(G10:G12)</f>
        <v>360447</v>
      </c>
      <c r="H14" s="598">
        <f t="shared" ref="H14" si="1">SUM(H10:H12)</f>
        <v>0</v>
      </c>
      <c r="I14" s="598">
        <f>SUM(I10:I13)</f>
        <v>1055689</v>
      </c>
    </row>
    <row r="15" spans="1:9" x14ac:dyDescent="0.2">
      <c r="A15" s="593" t="s">
        <v>486</v>
      </c>
      <c r="B15" s="594" t="s">
        <v>564</v>
      </c>
      <c r="C15" s="595">
        <v>0</v>
      </c>
      <c r="D15" s="595">
        <v>0</v>
      </c>
      <c r="E15" s="595">
        <v>334795</v>
      </c>
      <c r="F15" s="595">
        <v>0</v>
      </c>
      <c r="G15" s="595">
        <v>360447</v>
      </c>
      <c r="H15" s="595">
        <v>0</v>
      </c>
      <c r="I15" s="595">
        <f>SUM(C15:H15)</f>
        <v>695242</v>
      </c>
    </row>
    <row r="16" spans="1:9" x14ac:dyDescent="0.2">
      <c r="A16" s="596" t="s">
        <v>565</v>
      </c>
      <c r="B16" s="597" t="s">
        <v>566</v>
      </c>
      <c r="C16" s="598">
        <v>0</v>
      </c>
      <c r="D16" s="598">
        <f>SUM(D15:D15)</f>
        <v>0</v>
      </c>
      <c r="E16" s="598">
        <f>SUM(E15:E15)</f>
        <v>334795</v>
      </c>
      <c r="F16" s="598">
        <f t="shared" ref="F16:I16" si="2">SUM(F15:F15)</f>
        <v>0</v>
      </c>
      <c r="G16" s="598">
        <f t="shared" si="2"/>
        <v>360447</v>
      </c>
      <c r="H16" s="598">
        <f t="shared" si="2"/>
        <v>0</v>
      </c>
      <c r="I16" s="598">
        <f t="shared" si="2"/>
        <v>695242</v>
      </c>
    </row>
    <row r="17" spans="1:9" x14ac:dyDescent="0.2">
      <c r="A17" s="596" t="s">
        <v>567</v>
      </c>
      <c r="B17" s="597" t="s">
        <v>568</v>
      </c>
      <c r="C17" s="598">
        <v>0</v>
      </c>
      <c r="D17" s="598">
        <v>0</v>
      </c>
      <c r="E17" s="598">
        <f>E9+E14-E16</f>
        <v>4413110</v>
      </c>
      <c r="F17" s="598">
        <f>F9+F14-F16</f>
        <v>0</v>
      </c>
      <c r="G17" s="598">
        <f>G9+G14-G16</f>
        <v>0</v>
      </c>
      <c r="H17" s="598">
        <f>H9+H14-H16</f>
        <v>0</v>
      </c>
      <c r="I17" s="598">
        <f>I9+I14-I16</f>
        <v>4413110</v>
      </c>
    </row>
    <row r="18" spans="1:9" ht="25.5" x14ac:dyDescent="0.2">
      <c r="A18" s="596" t="s">
        <v>569</v>
      </c>
      <c r="B18" s="597" t="s">
        <v>570</v>
      </c>
      <c r="C18" s="598">
        <v>0</v>
      </c>
      <c r="D18" s="598">
        <v>0</v>
      </c>
      <c r="E18" s="598">
        <v>3893348</v>
      </c>
      <c r="F18" s="598">
        <v>0</v>
      </c>
      <c r="G18" s="598">
        <v>0</v>
      </c>
      <c r="H18" s="598">
        <v>0</v>
      </c>
      <c r="I18" s="598">
        <v>3893348</v>
      </c>
    </row>
    <row r="19" spans="1:9" x14ac:dyDescent="0.2">
      <c r="A19" s="593" t="s">
        <v>571</v>
      </c>
      <c r="B19" s="594" t="s">
        <v>572</v>
      </c>
      <c r="C19" s="595">
        <v>0</v>
      </c>
      <c r="D19" s="595">
        <v>0</v>
      </c>
      <c r="E19" s="595">
        <v>403933</v>
      </c>
      <c r="F19" s="595">
        <v>0</v>
      </c>
      <c r="G19" s="595">
        <v>0</v>
      </c>
      <c r="H19" s="595">
        <v>0</v>
      </c>
      <c r="I19" s="595">
        <v>403933</v>
      </c>
    </row>
    <row r="20" spans="1:9" x14ac:dyDescent="0.2">
      <c r="A20" s="593" t="s">
        <v>573</v>
      </c>
      <c r="B20" s="594" t="s">
        <v>574</v>
      </c>
      <c r="C20" s="595">
        <v>0</v>
      </c>
      <c r="D20" s="595">
        <v>0</v>
      </c>
      <c r="E20" s="595">
        <v>0</v>
      </c>
      <c r="F20" s="595">
        <v>0</v>
      </c>
      <c r="G20" s="595">
        <v>0</v>
      </c>
      <c r="H20" s="595">
        <v>0</v>
      </c>
      <c r="I20" s="595">
        <v>0</v>
      </c>
    </row>
    <row r="21" spans="1:9" ht="25.5" x14ac:dyDescent="0.2">
      <c r="A21" s="596" t="s">
        <v>575</v>
      </c>
      <c r="B21" s="597" t="s">
        <v>576</v>
      </c>
      <c r="C21" s="598">
        <v>0</v>
      </c>
      <c r="D21" s="598">
        <v>0</v>
      </c>
      <c r="E21" s="598">
        <f>E18+E19-E20</f>
        <v>4297281</v>
      </c>
      <c r="F21" s="598">
        <f t="shared" ref="F21:I21" si="3">F18+F19-F20</f>
        <v>0</v>
      </c>
      <c r="G21" s="598">
        <f t="shared" si="3"/>
        <v>0</v>
      </c>
      <c r="H21" s="598">
        <f t="shared" si="3"/>
        <v>0</v>
      </c>
      <c r="I21" s="598">
        <f t="shared" si="3"/>
        <v>4297281</v>
      </c>
    </row>
    <row r="22" spans="1:9" x14ac:dyDescent="0.2">
      <c r="A22" s="596" t="s">
        <v>577</v>
      </c>
      <c r="B22" s="597" t="s">
        <v>578</v>
      </c>
      <c r="C22" s="598">
        <v>0</v>
      </c>
      <c r="D22" s="598">
        <v>0</v>
      </c>
      <c r="E22" s="598">
        <v>4297281</v>
      </c>
      <c r="F22" s="598">
        <v>0</v>
      </c>
      <c r="G22" s="598">
        <v>0</v>
      </c>
      <c r="H22" s="598">
        <v>0</v>
      </c>
      <c r="I22" s="598">
        <v>4297281</v>
      </c>
    </row>
    <row r="23" spans="1:9" x14ac:dyDescent="0.2">
      <c r="A23" s="596" t="s">
        <v>579</v>
      </c>
      <c r="B23" s="597" t="s">
        <v>580</v>
      </c>
      <c r="C23" s="598">
        <v>0</v>
      </c>
      <c r="D23" s="598">
        <v>0</v>
      </c>
      <c r="E23" s="598">
        <v>115829</v>
      </c>
      <c r="F23" s="598">
        <f t="shared" ref="F23:H23" si="4">F17-F22</f>
        <v>0</v>
      </c>
      <c r="G23" s="598">
        <f t="shared" si="4"/>
        <v>0</v>
      </c>
      <c r="H23" s="598">
        <f t="shared" si="4"/>
        <v>0</v>
      </c>
      <c r="I23" s="598">
        <v>115829</v>
      </c>
    </row>
    <row r="24" spans="1:9" x14ac:dyDescent="0.2">
      <c r="A24" s="593">
        <v>26</v>
      </c>
      <c r="B24" s="594" t="s">
        <v>582</v>
      </c>
      <c r="C24" s="595">
        <v>0</v>
      </c>
      <c r="D24" s="595">
        <v>0</v>
      </c>
      <c r="E24" s="595">
        <v>4102503</v>
      </c>
      <c r="F24" s="606">
        <v>0</v>
      </c>
      <c r="G24" s="606">
        <v>0</v>
      </c>
      <c r="H24" s="606">
        <v>0</v>
      </c>
      <c r="I24" s="606">
        <v>4102503</v>
      </c>
    </row>
  </sheetData>
  <mergeCells count="4">
    <mergeCell ref="A1:I1"/>
    <mergeCell ref="A2:I2"/>
    <mergeCell ref="A4:I4"/>
    <mergeCell ref="A6:I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29"/>
  <sheetViews>
    <sheetView tabSelected="1" zoomScaleNormal="100" workbookViewId="0">
      <selection sqref="A1:E1"/>
    </sheetView>
  </sheetViews>
  <sheetFormatPr defaultRowHeight="12.75" x14ac:dyDescent="0.2"/>
  <cols>
    <col min="2" max="2" width="60.85546875" customWidth="1"/>
    <col min="3" max="3" width="11.42578125" customWidth="1"/>
    <col min="4" max="4" width="6.85546875" customWidth="1"/>
    <col min="5" max="5" width="10.5703125" customWidth="1"/>
  </cols>
  <sheetData>
    <row r="1" spans="1:5" x14ac:dyDescent="0.2">
      <c r="A1" s="809" t="s">
        <v>688</v>
      </c>
      <c r="B1" s="809"/>
      <c r="C1" s="809"/>
      <c r="D1" s="809"/>
      <c r="E1" s="809"/>
    </row>
    <row r="2" spans="1:5" x14ac:dyDescent="0.2">
      <c r="B2" s="821" t="s">
        <v>60</v>
      </c>
      <c r="C2" s="821"/>
      <c r="D2" s="821"/>
      <c r="E2" s="412"/>
    </row>
    <row r="4" spans="1:5" x14ac:dyDescent="0.2">
      <c r="A4" s="588"/>
      <c r="B4" s="623"/>
      <c r="C4" s="588"/>
      <c r="E4" s="604" t="s">
        <v>644</v>
      </c>
    </row>
    <row r="5" spans="1:5" x14ac:dyDescent="0.2">
      <c r="A5" s="588"/>
      <c r="B5" s="588"/>
      <c r="C5" s="588"/>
      <c r="D5" s="588"/>
      <c r="E5" s="588" t="s">
        <v>632</v>
      </c>
    </row>
    <row r="6" spans="1:5" x14ac:dyDescent="0.2">
      <c r="A6" s="818" t="s">
        <v>643</v>
      </c>
      <c r="B6" s="819"/>
      <c r="C6" s="819"/>
      <c r="D6" s="819"/>
      <c r="E6" s="819"/>
    </row>
    <row r="7" spans="1:5" ht="38.25" x14ac:dyDescent="0.2">
      <c r="A7" s="605" t="s">
        <v>468</v>
      </c>
      <c r="B7" s="605" t="s">
        <v>16</v>
      </c>
      <c r="C7" s="605" t="s">
        <v>469</v>
      </c>
      <c r="D7" s="605" t="s">
        <v>470</v>
      </c>
      <c r="E7" s="605" t="s">
        <v>471</v>
      </c>
    </row>
    <row r="8" spans="1:5" x14ac:dyDescent="0.2">
      <c r="A8" s="605">
        <v>1</v>
      </c>
      <c r="B8" s="605">
        <v>2</v>
      </c>
      <c r="C8" s="605">
        <v>3</v>
      </c>
      <c r="D8" s="605">
        <v>4</v>
      </c>
      <c r="E8" s="605">
        <v>5</v>
      </c>
    </row>
    <row r="9" spans="1:5" ht="25.5" x14ac:dyDescent="0.2">
      <c r="A9" s="593" t="s">
        <v>472</v>
      </c>
      <c r="B9" s="594" t="s">
        <v>598</v>
      </c>
      <c r="C9" s="595">
        <v>6585984</v>
      </c>
      <c r="D9" s="595">
        <v>0</v>
      </c>
      <c r="E9" s="595">
        <v>7359588</v>
      </c>
    </row>
    <row r="10" spans="1:5" x14ac:dyDescent="0.2">
      <c r="A10" s="593" t="s">
        <v>589</v>
      </c>
      <c r="B10" s="594" t="s">
        <v>599</v>
      </c>
      <c r="C10" s="595">
        <v>0</v>
      </c>
      <c r="D10" s="595">
        <v>0</v>
      </c>
      <c r="E10" s="595">
        <v>0</v>
      </c>
    </row>
    <row r="11" spans="1:5" x14ac:dyDescent="0.2">
      <c r="A11" s="596" t="s">
        <v>474</v>
      </c>
      <c r="B11" s="597" t="s">
        <v>600</v>
      </c>
      <c r="C11" s="598">
        <f>SUM(C9:C10)</f>
        <v>6585984</v>
      </c>
      <c r="D11" s="598">
        <f t="shared" ref="D11:E11" si="0">SUM(D9:D10)</f>
        <v>0</v>
      </c>
      <c r="E11" s="598">
        <f t="shared" si="0"/>
        <v>7359588</v>
      </c>
    </row>
    <row r="12" spans="1:5" ht="25.5" x14ac:dyDescent="0.2">
      <c r="A12" s="593" t="s">
        <v>480</v>
      </c>
      <c r="B12" s="594" t="s">
        <v>601</v>
      </c>
      <c r="C12" s="595">
        <v>42467664</v>
      </c>
      <c r="D12" s="595">
        <v>0</v>
      </c>
      <c r="E12" s="595">
        <v>37130375</v>
      </c>
    </row>
    <row r="13" spans="1:5" x14ac:dyDescent="0.2">
      <c r="A13" s="607" t="s">
        <v>563</v>
      </c>
      <c r="B13" s="608" t="s">
        <v>602</v>
      </c>
      <c r="C13" s="595">
        <v>23000</v>
      </c>
      <c r="D13" s="595">
        <v>0</v>
      </c>
      <c r="E13" s="595">
        <v>0</v>
      </c>
    </row>
    <row r="14" spans="1:5" x14ac:dyDescent="0.2">
      <c r="A14" s="593" t="s">
        <v>484</v>
      </c>
      <c r="B14" s="594" t="s">
        <v>604</v>
      </c>
      <c r="C14" s="595">
        <v>3710</v>
      </c>
      <c r="D14" s="595">
        <v>0</v>
      </c>
      <c r="E14" s="595">
        <v>420230</v>
      </c>
    </row>
    <row r="15" spans="1:5" x14ac:dyDescent="0.2">
      <c r="A15" s="596" t="s">
        <v>605</v>
      </c>
      <c r="B15" s="597" t="s">
        <v>606</v>
      </c>
      <c r="C15" s="598">
        <f>SUM(C12:C14)</f>
        <v>42494374</v>
      </c>
      <c r="D15" s="598">
        <f t="shared" ref="D15:E15" si="1">SUM(D12:D14)</f>
        <v>0</v>
      </c>
      <c r="E15" s="598">
        <f t="shared" si="1"/>
        <v>37550605</v>
      </c>
    </row>
    <row r="16" spans="1:5" x14ac:dyDescent="0.2">
      <c r="A16" s="593">
        <v>13</v>
      </c>
      <c r="B16" s="594" t="s">
        <v>607</v>
      </c>
      <c r="C16" s="595">
        <v>10824125</v>
      </c>
      <c r="D16" s="595">
        <v>0</v>
      </c>
      <c r="E16" s="595">
        <v>9666351</v>
      </c>
    </row>
    <row r="17" spans="1:5" x14ac:dyDescent="0.2">
      <c r="A17" s="593" t="s">
        <v>565</v>
      </c>
      <c r="B17" s="594" t="s">
        <v>608</v>
      </c>
      <c r="C17" s="595">
        <v>3634173</v>
      </c>
      <c r="D17" s="595">
        <v>0</v>
      </c>
      <c r="E17" s="595">
        <v>3651915</v>
      </c>
    </row>
    <row r="18" spans="1:5" x14ac:dyDescent="0.2">
      <c r="A18" s="596" t="s">
        <v>571</v>
      </c>
      <c r="B18" s="597" t="s">
        <v>609</v>
      </c>
      <c r="C18" s="598">
        <f t="shared" ref="C18:E18" si="2">SUM(C16:C17)</f>
        <v>14458298</v>
      </c>
      <c r="D18" s="598">
        <f t="shared" si="2"/>
        <v>0</v>
      </c>
      <c r="E18" s="598">
        <f t="shared" si="2"/>
        <v>13318266</v>
      </c>
    </row>
    <row r="19" spans="1:5" x14ac:dyDescent="0.2">
      <c r="A19" s="593" t="s">
        <v>573</v>
      </c>
      <c r="B19" s="594" t="s">
        <v>610</v>
      </c>
      <c r="C19" s="595">
        <v>22873162</v>
      </c>
      <c r="D19" s="595">
        <v>0</v>
      </c>
      <c r="E19" s="595">
        <v>22854137</v>
      </c>
    </row>
    <row r="20" spans="1:5" x14ac:dyDescent="0.2">
      <c r="A20" s="593" t="s">
        <v>575</v>
      </c>
      <c r="B20" s="594" t="s">
        <v>611</v>
      </c>
      <c r="C20" s="595">
        <v>4128326</v>
      </c>
      <c r="D20" s="595">
        <v>0</v>
      </c>
      <c r="E20" s="595">
        <v>2433814</v>
      </c>
    </row>
    <row r="21" spans="1:5" x14ac:dyDescent="0.2">
      <c r="A21" s="593" t="s">
        <v>612</v>
      </c>
      <c r="B21" s="594" t="s">
        <v>613</v>
      </c>
      <c r="C21" s="595">
        <v>5376439</v>
      </c>
      <c r="D21" s="595">
        <v>0</v>
      </c>
      <c r="E21" s="595">
        <v>5222812</v>
      </c>
    </row>
    <row r="22" spans="1:5" x14ac:dyDescent="0.2">
      <c r="A22" s="596" t="s">
        <v>487</v>
      </c>
      <c r="B22" s="597" t="s">
        <v>614</v>
      </c>
      <c r="C22" s="598">
        <f>SUM(C19:C21)</f>
        <v>32377927</v>
      </c>
      <c r="D22" s="598">
        <f t="shared" ref="D22:E22" si="3">SUM(D19:D21)</f>
        <v>0</v>
      </c>
      <c r="E22" s="598">
        <f t="shared" si="3"/>
        <v>30510763</v>
      </c>
    </row>
    <row r="23" spans="1:5" x14ac:dyDescent="0.2">
      <c r="A23" s="596" t="s">
        <v>615</v>
      </c>
      <c r="B23" s="597" t="s">
        <v>616</v>
      </c>
      <c r="C23" s="598">
        <v>432313</v>
      </c>
      <c r="D23" s="598">
        <v>0</v>
      </c>
      <c r="E23" s="598">
        <v>403933</v>
      </c>
    </row>
    <row r="24" spans="1:5" x14ac:dyDescent="0.2">
      <c r="A24" s="596" t="s">
        <v>617</v>
      </c>
      <c r="B24" s="597" t="s">
        <v>618</v>
      </c>
      <c r="C24" s="598">
        <v>403259</v>
      </c>
      <c r="D24" s="598">
        <v>0</v>
      </c>
      <c r="E24" s="598">
        <v>2532426</v>
      </c>
    </row>
    <row r="25" spans="1:5" x14ac:dyDescent="0.2">
      <c r="A25" s="596" t="s">
        <v>577</v>
      </c>
      <c r="B25" s="597" t="s">
        <v>619</v>
      </c>
      <c r="C25" s="598">
        <v>1408561</v>
      </c>
      <c r="D25" s="598">
        <v>0</v>
      </c>
      <c r="E25" s="598">
        <v>-1855195</v>
      </c>
    </row>
    <row r="26" spans="1:5" s="588" customFormat="1" x14ac:dyDescent="0.2">
      <c r="A26" s="593">
        <v>28</v>
      </c>
      <c r="B26" s="594" t="s">
        <v>655</v>
      </c>
      <c r="C26" s="595">
        <v>18</v>
      </c>
      <c r="D26" s="595">
        <v>0</v>
      </c>
      <c r="E26" s="595">
        <v>19</v>
      </c>
    </row>
    <row r="27" spans="1:5" x14ac:dyDescent="0.2">
      <c r="A27" s="596">
        <v>32</v>
      </c>
      <c r="B27" s="597" t="s">
        <v>656</v>
      </c>
      <c r="C27" s="598">
        <v>18</v>
      </c>
      <c r="D27" s="598">
        <v>0</v>
      </c>
      <c r="E27" s="598">
        <v>19</v>
      </c>
    </row>
    <row r="28" spans="1:5" x14ac:dyDescent="0.2">
      <c r="A28" s="596">
        <v>43</v>
      </c>
      <c r="B28" s="597" t="s">
        <v>657</v>
      </c>
      <c r="C28" s="598">
        <v>18</v>
      </c>
      <c r="D28" s="598">
        <v>0</v>
      </c>
      <c r="E28" s="598">
        <v>19</v>
      </c>
    </row>
    <row r="29" spans="1:5" x14ac:dyDescent="0.2">
      <c r="A29" s="596" t="s">
        <v>626</v>
      </c>
      <c r="B29" s="597" t="s">
        <v>627</v>
      </c>
      <c r="C29" s="598">
        <f>C25+C28</f>
        <v>1408579</v>
      </c>
      <c r="D29" s="598">
        <f t="shared" ref="D29:E29" si="4">D25+D28</f>
        <v>0</v>
      </c>
      <c r="E29" s="598">
        <f t="shared" si="4"/>
        <v>-1855176</v>
      </c>
    </row>
  </sheetData>
  <mergeCells count="3">
    <mergeCell ref="A1:E1"/>
    <mergeCell ref="B2:D2"/>
    <mergeCell ref="A6:E6"/>
  </mergeCells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41"/>
  <sheetViews>
    <sheetView view="pageBreakPreview" zoomScale="85" zoomScaleNormal="100" zoomScaleSheetLayoutView="85" workbookViewId="0">
      <selection sqref="A1:M1"/>
    </sheetView>
  </sheetViews>
  <sheetFormatPr defaultRowHeight="12.75" x14ac:dyDescent="0.2"/>
  <cols>
    <col min="1" max="1" width="35.5703125" style="138" customWidth="1"/>
    <col min="2" max="2" width="7.7109375" style="139" customWidth="1"/>
    <col min="3" max="7" width="10.42578125" style="138" customWidth="1"/>
    <col min="8" max="8" width="12.140625" style="138" customWidth="1"/>
    <col min="9" max="12" width="10.42578125" style="138" customWidth="1"/>
    <col min="13" max="13" width="12.42578125" style="138" customWidth="1"/>
    <col min="14" max="16384" width="9.140625" style="137"/>
  </cols>
  <sheetData>
    <row r="1" spans="1:15" ht="15.75" customHeight="1" x14ac:dyDescent="0.2">
      <c r="A1" s="636" t="s">
        <v>675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</row>
    <row r="2" spans="1:15" ht="15.75" customHeight="1" x14ac:dyDescent="0.2">
      <c r="L2" s="145"/>
      <c r="M2" s="145" t="s">
        <v>410</v>
      </c>
    </row>
    <row r="3" spans="1:15" ht="15.75" customHeight="1" x14ac:dyDescent="0.2">
      <c r="A3" s="635" t="s">
        <v>396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</row>
    <row r="4" spans="1:15" ht="15.75" customHeight="1" x14ac:dyDescent="0.2">
      <c r="A4" s="10"/>
      <c r="B4" s="10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5" ht="9" customHeight="1" thickBot="1" x14ac:dyDescent="0.25"/>
    <row r="6" spans="1:15" s="140" customFormat="1" ht="21" customHeight="1" x14ac:dyDescent="0.2">
      <c r="A6" s="639" t="s">
        <v>16</v>
      </c>
      <c r="B6" s="642" t="s">
        <v>116</v>
      </c>
      <c r="C6" s="637" t="s">
        <v>255</v>
      </c>
      <c r="D6" s="637"/>
      <c r="E6" s="637"/>
      <c r="F6" s="637"/>
      <c r="G6" s="637"/>
      <c r="H6" s="637"/>
      <c r="I6" s="637"/>
      <c r="J6" s="637"/>
      <c r="K6" s="637"/>
      <c r="L6" s="637"/>
      <c r="M6" s="638"/>
    </row>
    <row r="7" spans="1:15" s="142" customFormat="1" ht="42.75" customHeight="1" x14ac:dyDescent="0.2">
      <c r="A7" s="640"/>
      <c r="B7" s="643"/>
      <c r="C7" s="647" t="s">
        <v>117</v>
      </c>
      <c r="D7" s="647" t="s">
        <v>118</v>
      </c>
      <c r="E7" s="647" t="s">
        <v>119</v>
      </c>
      <c r="F7" s="647" t="s">
        <v>120</v>
      </c>
      <c r="G7" s="647" t="s">
        <v>121</v>
      </c>
      <c r="H7" s="647" t="s">
        <v>122</v>
      </c>
      <c r="I7" s="647" t="s">
        <v>123</v>
      </c>
      <c r="J7" s="647" t="s">
        <v>124</v>
      </c>
      <c r="K7" s="647" t="s">
        <v>125</v>
      </c>
      <c r="L7" s="647" t="s">
        <v>126</v>
      </c>
      <c r="M7" s="645" t="s">
        <v>127</v>
      </c>
    </row>
    <row r="8" spans="1:15" s="143" customFormat="1" ht="12.75" customHeight="1" thickBot="1" x14ac:dyDescent="0.25">
      <c r="A8" s="641"/>
      <c r="B8" s="644"/>
      <c r="C8" s="644"/>
      <c r="D8" s="644"/>
      <c r="E8" s="644"/>
      <c r="F8" s="644"/>
      <c r="G8" s="644"/>
      <c r="H8" s="644"/>
      <c r="I8" s="644"/>
      <c r="J8" s="644"/>
      <c r="K8" s="644"/>
      <c r="L8" s="644"/>
      <c r="M8" s="646"/>
    </row>
    <row r="9" spans="1:15" ht="25.5" customHeight="1" thickBot="1" x14ac:dyDescent="0.25">
      <c r="A9" s="368" t="s">
        <v>128</v>
      </c>
      <c r="B9" s="369">
        <v>900020</v>
      </c>
      <c r="C9" s="424"/>
      <c r="D9" s="36">
        <v>19160288</v>
      </c>
      <c r="E9" s="422"/>
      <c r="F9" s="422"/>
      <c r="G9" s="422"/>
      <c r="H9" s="422"/>
      <c r="I9" s="422"/>
      <c r="J9" s="422"/>
      <c r="K9" s="422"/>
      <c r="L9" s="36"/>
      <c r="M9" s="370">
        <f>SUM(D9:L9)</f>
        <v>19160288</v>
      </c>
      <c r="N9" s="145"/>
      <c r="O9" s="138"/>
    </row>
    <row r="10" spans="1:15" ht="25.5" customHeight="1" thickBot="1" x14ac:dyDescent="0.25">
      <c r="A10" s="146" t="s">
        <v>129</v>
      </c>
      <c r="B10" s="245" t="s">
        <v>209</v>
      </c>
      <c r="C10" s="422"/>
      <c r="D10" s="422"/>
      <c r="E10" s="36">
        <f>5336822+14996308</f>
        <v>20333130</v>
      </c>
      <c r="F10" s="36">
        <f>29727106+6192000</f>
        <v>35919106</v>
      </c>
      <c r="G10" s="422"/>
      <c r="H10" s="422"/>
      <c r="I10" s="422"/>
      <c r="J10" s="422"/>
      <c r="K10" s="422"/>
      <c r="L10" s="36"/>
      <c r="M10" s="144">
        <f t="shared" ref="M10:M24" si="0">SUM(C10:L10)</f>
        <v>56252236</v>
      </c>
      <c r="N10" s="145"/>
      <c r="O10" s="138"/>
    </row>
    <row r="11" spans="1:15" ht="25.5" customHeight="1" thickBot="1" x14ac:dyDescent="0.25">
      <c r="A11" s="146" t="s">
        <v>130</v>
      </c>
      <c r="B11" s="245" t="s">
        <v>210</v>
      </c>
      <c r="C11" s="36">
        <f>5000+1233+23928+2611598+34000</f>
        <v>2675759</v>
      </c>
      <c r="D11" s="422"/>
      <c r="E11" s="422"/>
      <c r="F11" s="36"/>
      <c r="G11" s="422"/>
      <c r="H11" s="422"/>
      <c r="I11" s="422"/>
      <c r="J11" s="36">
        <v>26191526</v>
      </c>
      <c r="K11" s="422"/>
      <c r="L11" s="36"/>
      <c r="M11" s="144">
        <f t="shared" si="0"/>
        <v>28867285</v>
      </c>
      <c r="N11" s="145"/>
      <c r="O11" s="138"/>
    </row>
    <row r="12" spans="1:15" ht="25.5" customHeight="1" thickBot="1" x14ac:dyDescent="0.25">
      <c r="A12" s="146" t="s">
        <v>131</v>
      </c>
      <c r="B12" s="245" t="s">
        <v>211</v>
      </c>
      <c r="C12" s="422"/>
      <c r="D12" s="422"/>
      <c r="E12" s="422"/>
      <c r="F12" s="36">
        <v>1827246</v>
      </c>
      <c r="G12" s="422"/>
      <c r="H12" s="422"/>
      <c r="I12" s="422"/>
      <c r="J12" s="422"/>
      <c r="K12" s="422"/>
      <c r="L12" s="36"/>
      <c r="M12" s="144">
        <f t="shared" si="0"/>
        <v>1827246</v>
      </c>
      <c r="N12" s="145"/>
      <c r="O12" s="138"/>
    </row>
    <row r="13" spans="1:15" ht="25.5" customHeight="1" thickBot="1" x14ac:dyDescent="0.25">
      <c r="A13" s="146" t="s">
        <v>438</v>
      </c>
      <c r="B13" s="245" t="s">
        <v>209</v>
      </c>
      <c r="C13" s="422"/>
      <c r="D13" s="422"/>
      <c r="E13" s="422"/>
      <c r="F13" s="36">
        <v>1273810</v>
      </c>
      <c r="G13" s="422"/>
      <c r="H13" s="422"/>
      <c r="I13" s="422"/>
      <c r="J13" s="422"/>
      <c r="K13" s="422"/>
      <c r="L13" s="36"/>
      <c r="M13" s="144">
        <f t="shared" si="0"/>
        <v>1273810</v>
      </c>
      <c r="N13" s="145"/>
      <c r="O13" s="138"/>
    </row>
    <row r="14" spans="1:15" ht="25.5" customHeight="1" thickBot="1" x14ac:dyDescent="0.25">
      <c r="A14" s="146" t="s">
        <v>427</v>
      </c>
      <c r="B14" s="245" t="s">
        <v>209</v>
      </c>
      <c r="C14" s="422"/>
      <c r="D14" s="422"/>
      <c r="E14" s="422"/>
      <c r="F14" s="36">
        <v>4493900</v>
      </c>
      <c r="G14" s="422"/>
      <c r="H14" s="422"/>
      <c r="I14" s="422"/>
      <c r="J14" s="422"/>
      <c r="K14" s="422"/>
      <c r="L14" s="36"/>
      <c r="M14" s="144">
        <f t="shared" si="0"/>
        <v>4493900</v>
      </c>
      <c r="N14" s="145"/>
      <c r="O14" s="138"/>
    </row>
    <row r="15" spans="1:15" ht="25.5" customHeight="1" thickBot="1" x14ac:dyDescent="0.25">
      <c r="A15" s="146" t="s">
        <v>439</v>
      </c>
      <c r="B15" s="245" t="s">
        <v>209</v>
      </c>
      <c r="C15" s="422"/>
      <c r="D15" s="422"/>
      <c r="E15" s="422"/>
      <c r="F15" s="36">
        <v>10140</v>
      </c>
      <c r="G15" s="422"/>
      <c r="H15" s="422"/>
      <c r="I15" s="422"/>
      <c r="J15" s="422"/>
      <c r="K15" s="422"/>
      <c r="L15" s="36"/>
      <c r="M15" s="144">
        <f t="shared" si="0"/>
        <v>10140</v>
      </c>
      <c r="N15" s="145"/>
      <c r="O15" s="138"/>
    </row>
    <row r="16" spans="1:15" ht="25.5" customHeight="1" thickBot="1" x14ac:dyDescent="0.25">
      <c r="A16" s="146" t="s">
        <v>434</v>
      </c>
      <c r="B16" s="245" t="s">
        <v>213</v>
      </c>
      <c r="C16" s="36">
        <v>60400</v>
      </c>
      <c r="D16" s="422"/>
      <c r="E16" s="422"/>
      <c r="F16" s="36"/>
      <c r="G16" s="422"/>
      <c r="H16" s="422"/>
      <c r="I16" s="422"/>
      <c r="J16" s="422"/>
      <c r="K16" s="422"/>
      <c r="L16" s="36"/>
      <c r="M16" s="144">
        <f t="shared" si="0"/>
        <v>60400</v>
      </c>
      <c r="N16" s="145"/>
      <c r="O16" s="138"/>
    </row>
    <row r="17" spans="1:15" ht="25.5" customHeight="1" thickBot="1" x14ac:dyDescent="0.25">
      <c r="A17" s="146" t="s">
        <v>433</v>
      </c>
      <c r="B17" s="245" t="s">
        <v>273</v>
      </c>
      <c r="C17" s="36">
        <v>37000</v>
      </c>
      <c r="D17" s="422"/>
      <c r="E17" s="422"/>
      <c r="F17" s="36"/>
      <c r="G17" s="422"/>
      <c r="H17" s="422"/>
      <c r="I17" s="422"/>
      <c r="J17" s="422"/>
      <c r="K17" s="422"/>
      <c r="L17" s="36"/>
      <c r="M17" s="144">
        <f t="shared" si="0"/>
        <v>37000</v>
      </c>
      <c r="N17" s="145"/>
      <c r="O17" s="138"/>
    </row>
    <row r="18" spans="1:15" ht="25.5" customHeight="1" thickBot="1" x14ac:dyDescent="0.25">
      <c r="A18" s="146" t="s">
        <v>451</v>
      </c>
      <c r="B18" s="245" t="s">
        <v>436</v>
      </c>
      <c r="C18" s="36">
        <v>1000000</v>
      </c>
      <c r="D18" s="422"/>
      <c r="E18" s="422"/>
      <c r="F18" s="36"/>
      <c r="G18" s="422"/>
      <c r="H18" s="422"/>
      <c r="I18" s="422"/>
      <c r="J18" s="422"/>
      <c r="K18" s="422"/>
      <c r="L18" s="36"/>
      <c r="M18" s="144">
        <f t="shared" si="0"/>
        <v>1000000</v>
      </c>
      <c r="N18" s="145"/>
      <c r="O18" s="138"/>
    </row>
    <row r="19" spans="1:15" ht="25.5" customHeight="1" thickBot="1" x14ac:dyDescent="0.25">
      <c r="A19" s="146" t="s">
        <v>435</v>
      </c>
      <c r="B19" s="245" t="s">
        <v>283</v>
      </c>
      <c r="C19" s="36">
        <v>1311010</v>
      </c>
      <c r="D19" s="422"/>
      <c r="E19" s="422"/>
      <c r="F19" s="36">
        <v>693600</v>
      </c>
      <c r="G19" s="422"/>
      <c r="H19" s="422"/>
      <c r="I19" s="422"/>
      <c r="J19" s="422"/>
      <c r="K19" s="422"/>
      <c r="L19" s="36"/>
      <c r="M19" s="144">
        <f t="shared" si="0"/>
        <v>2004610</v>
      </c>
      <c r="N19" s="145"/>
      <c r="O19" s="138"/>
    </row>
    <row r="20" spans="1:15" ht="25.5" customHeight="1" thickBot="1" x14ac:dyDescent="0.25">
      <c r="A20" s="146" t="s">
        <v>437</v>
      </c>
      <c r="B20" s="245" t="s">
        <v>436</v>
      </c>
      <c r="C20" s="36">
        <v>123500</v>
      </c>
      <c r="D20" s="422"/>
      <c r="E20" s="422"/>
      <c r="F20" s="36"/>
      <c r="G20" s="422"/>
      <c r="H20" s="422"/>
      <c r="I20" s="422"/>
      <c r="J20" s="422"/>
      <c r="K20" s="422"/>
      <c r="L20" s="36"/>
      <c r="M20" s="144">
        <f t="shared" si="0"/>
        <v>123500</v>
      </c>
      <c r="N20" s="145"/>
      <c r="O20" s="138"/>
    </row>
    <row r="21" spans="1:15" ht="25.5" customHeight="1" thickBot="1" x14ac:dyDescent="0.25">
      <c r="A21" s="147" t="s">
        <v>132</v>
      </c>
      <c r="B21" s="245" t="s">
        <v>209</v>
      </c>
      <c r="C21" s="422"/>
      <c r="D21" s="422"/>
      <c r="E21" s="422"/>
      <c r="F21" s="36">
        <v>9996183</v>
      </c>
      <c r="G21" s="422"/>
      <c r="H21" s="422"/>
      <c r="I21" s="422"/>
      <c r="J21" s="36">
        <v>1587177</v>
      </c>
      <c r="K21" s="422"/>
      <c r="L21" s="36"/>
      <c r="M21" s="144">
        <f t="shared" si="0"/>
        <v>11583360</v>
      </c>
      <c r="N21" s="145"/>
      <c r="O21" s="138"/>
    </row>
    <row r="22" spans="1:15" ht="25.5" customHeight="1" thickBot="1" x14ac:dyDescent="0.25">
      <c r="A22" s="146" t="s">
        <v>212</v>
      </c>
      <c r="B22" s="246" t="s">
        <v>279</v>
      </c>
      <c r="C22" s="518">
        <v>9350755</v>
      </c>
      <c r="D22" s="422"/>
      <c r="E22" s="422"/>
      <c r="F22" s="36">
        <f>15827531+730000</f>
        <v>16557531</v>
      </c>
      <c r="G22" s="422"/>
      <c r="H22" s="422"/>
      <c r="I22" s="422"/>
      <c r="J22" s="422"/>
      <c r="K22" s="422"/>
      <c r="L22" s="36"/>
      <c r="M22" s="144">
        <f>SUM(C22:L22)</f>
        <v>25908286</v>
      </c>
      <c r="N22" s="145"/>
      <c r="O22" s="138"/>
    </row>
    <row r="23" spans="1:15" ht="25.5" customHeight="1" thickBot="1" x14ac:dyDescent="0.25">
      <c r="A23" s="148" t="s">
        <v>356</v>
      </c>
      <c r="B23" s="245" t="s">
        <v>213</v>
      </c>
      <c r="C23" s="422"/>
      <c r="D23" s="423"/>
      <c r="E23" s="36">
        <v>2920330</v>
      </c>
      <c r="F23" s="36"/>
      <c r="G23" s="422"/>
      <c r="H23" s="422"/>
      <c r="I23" s="422"/>
      <c r="J23" s="422"/>
      <c r="K23" s="422"/>
      <c r="L23" s="36"/>
      <c r="M23" s="144">
        <f t="shared" si="0"/>
        <v>2920330</v>
      </c>
      <c r="N23" s="145"/>
      <c r="O23" s="138"/>
    </row>
    <row r="24" spans="1:15" ht="25.5" customHeight="1" thickBot="1" x14ac:dyDescent="0.25">
      <c r="A24" s="149" t="s">
        <v>265</v>
      </c>
      <c r="B24" s="247" t="s">
        <v>214</v>
      </c>
      <c r="C24" s="425"/>
      <c r="D24" s="426"/>
      <c r="E24" s="425"/>
      <c r="F24" s="423"/>
      <c r="G24" s="425"/>
      <c r="H24" s="150">
        <v>1637579</v>
      </c>
      <c r="I24" s="425"/>
      <c r="J24" s="425"/>
      <c r="K24" s="425"/>
      <c r="L24" s="150"/>
      <c r="M24" s="144">
        <f t="shared" si="0"/>
        <v>1637579</v>
      </c>
      <c r="N24" s="145"/>
      <c r="O24" s="138"/>
    </row>
    <row r="25" spans="1:15" s="140" customFormat="1" ht="30" customHeight="1" thickBot="1" x14ac:dyDescent="0.25">
      <c r="A25" s="151" t="s">
        <v>133</v>
      </c>
      <c r="B25" s="152"/>
      <c r="C25" s="153">
        <f t="shared" ref="C25:L25" si="1">SUM(C9:C24)</f>
        <v>14558424</v>
      </c>
      <c r="D25" s="153">
        <f t="shared" si="1"/>
        <v>19160288</v>
      </c>
      <c r="E25" s="153">
        <f t="shared" si="1"/>
        <v>23253460</v>
      </c>
      <c r="F25" s="153">
        <f t="shared" si="1"/>
        <v>70771516</v>
      </c>
      <c r="G25" s="153">
        <f t="shared" si="1"/>
        <v>0</v>
      </c>
      <c r="H25" s="153">
        <f t="shared" si="1"/>
        <v>1637579</v>
      </c>
      <c r="I25" s="153">
        <f t="shared" si="1"/>
        <v>0</v>
      </c>
      <c r="J25" s="153">
        <f t="shared" si="1"/>
        <v>27778703</v>
      </c>
      <c r="K25" s="153">
        <f t="shared" si="1"/>
        <v>0</v>
      </c>
      <c r="L25" s="367">
        <f t="shared" si="1"/>
        <v>0</v>
      </c>
      <c r="M25" s="366">
        <f>SUM(C25:L25)</f>
        <v>157159970</v>
      </c>
      <c r="N25" s="154"/>
    </row>
    <row r="26" spans="1:15" x14ac:dyDescent="0.2">
      <c r="N26" s="145"/>
    </row>
    <row r="27" spans="1:15" x14ac:dyDescent="0.2">
      <c r="N27" s="145"/>
    </row>
    <row r="28" spans="1:15" x14ac:dyDescent="0.2">
      <c r="N28" s="145"/>
    </row>
    <row r="41" spans="1:2" x14ac:dyDescent="0.2">
      <c r="A41" s="155"/>
      <c r="B41" s="156"/>
    </row>
  </sheetData>
  <mergeCells count="16">
    <mergeCell ref="A3:M3"/>
    <mergeCell ref="A1:M1"/>
    <mergeCell ref="C6:M6"/>
    <mergeCell ref="A6:A8"/>
    <mergeCell ref="B6:B8"/>
    <mergeCell ref="M7:M8"/>
    <mergeCell ref="C7:C8"/>
    <mergeCell ref="D7:D8"/>
    <mergeCell ref="E7:E8"/>
    <mergeCell ref="F7:F8"/>
    <mergeCell ref="K7:K8"/>
    <mergeCell ref="L7:L8"/>
    <mergeCell ref="G7:G8"/>
    <mergeCell ref="H7:H8"/>
    <mergeCell ref="I7:I8"/>
    <mergeCell ref="J7:J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horizontalDpi="4294967292" r:id="rId1"/>
  <headerFooter alignWithMargins="0"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5" tint="0.39997558519241921"/>
  </sheetPr>
  <dimension ref="A1:E23"/>
  <sheetViews>
    <sheetView view="pageBreakPreview" zoomScale="145" zoomScaleNormal="100" zoomScaleSheetLayoutView="145" workbookViewId="0">
      <selection activeCell="A17" sqref="A17:B17"/>
    </sheetView>
  </sheetViews>
  <sheetFormatPr defaultRowHeight="12.75" x14ac:dyDescent="0.2"/>
  <cols>
    <col min="1" max="1" width="3.7109375" style="1" customWidth="1"/>
    <col min="2" max="2" width="47.5703125" style="1" customWidth="1"/>
    <col min="3" max="3" width="14.140625" style="6" customWidth="1"/>
    <col min="4" max="4" width="15.140625" style="6" customWidth="1"/>
    <col min="5" max="5" width="12.140625" style="2" customWidth="1"/>
    <col min="6" max="6" width="12" style="2" bestFit="1" customWidth="1"/>
    <col min="7" max="7" width="10.140625" style="2" bestFit="1" customWidth="1"/>
    <col min="8" max="16384" width="9.140625" style="2"/>
  </cols>
  <sheetData>
    <row r="1" spans="1:5" ht="31.5" customHeight="1" x14ac:dyDescent="0.2">
      <c r="A1" s="648" t="s">
        <v>675</v>
      </c>
      <c r="B1" s="648"/>
      <c r="C1" s="648"/>
      <c r="D1" s="648"/>
      <c r="E1" s="648"/>
    </row>
    <row r="2" spans="1:5" ht="19.5" customHeight="1" x14ac:dyDescent="0.2">
      <c r="A2" s="402"/>
      <c r="B2" s="402"/>
      <c r="E2" s="402" t="s">
        <v>411</v>
      </c>
    </row>
    <row r="3" spans="1:5" ht="27" customHeight="1" x14ac:dyDescent="0.2">
      <c r="A3" s="635" t="s">
        <v>10</v>
      </c>
      <c r="B3" s="635"/>
      <c r="C3" s="635"/>
      <c r="D3" s="635"/>
      <c r="E3" s="635"/>
    </row>
    <row r="4" spans="1:5" ht="23.25" customHeight="1" x14ac:dyDescent="0.2">
      <c r="A4" s="649" t="s">
        <v>395</v>
      </c>
      <c r="B4" s="649"/>
      <c r="C4" s="649"/>
      <c r="D4" s="649"/>
      <c r="E4" s="649"/>
    </row>
    <row r="5" spans="1:5" ht="23.25" customHeight="1" thickBot="1" x14ac:dyDescent="0.25">
      <c r="A5" s="401"/>
      <c r="B5" s="401"/>
      <c r="C5" s="401"/>
      <c r="D5" s="401"/>
    </row>
    <row r="6" spans="1:5" ht="30" customHeight="1" x14ac:dyDescent="0.2">
      <c r="A6" s="656" t="s">
        <v>16</v>
      </c>
      <c r="B6" s="657"/>
      <c r="C6" s="565" t="s">
        <v>64</v>
      </c>
      <c r="D6" s="565" t="s">
        <v>431</v>
      </c>
      <c r="E6" s="565" t="s">
        <v>255</v>
      </c>
    </row>
    <row r="7" spans="1:5" ht="30" customHeight="1" x14ac:dyDescent="0.2">
      <c r="A7" s="654" t="s">
        <v>6</v>
      </c>
      <c r="B7" s="655"/>
      <c r="C7" s="420">
        <f>SUM(C8:C11)</f>
        <v>14100000</v>
      </c>
      <c r="D7" s="420">
        <f>SUM(D8:D11)</f>
        <v>16203000</v>
      </c>
      <c r="E7" s="420">
        <f>SUM(E8:E11)</f>
        <v>16202175</v>
      </c>
    </row>
    <row r="8" spans="1:5" s="5" customFormat="1" ht="30" customHeight="1" x14ac:dyDescent="0.2">
      <c r="A8" s="3"/>
      <c r="B8" s="4" t="s">
        <v>3</v>
      </c>
      <c r="C8" s="362">
        <v>5000000</v>
      </c>
      <c r="D8" s="421">
        <v>5170000</v>
      </c>
      <c r="E8" s="421">
        <v>5169716</v>
      </c>
    </row>
    <row r="9" spans="1:5" s="5" customFormat="1" ht="30" customHeight="1" x14ac:dyDescent="0.2">
      <c r="A9" s="3"/>
      <c r="B9" s="4" t="s">
        <v>4</v>
      </c>
      <c r="C9" s="362">
        <v>5000000</v>
      </c>
      <c r="D9" s="421">
        <v>6693000</v>
      </c>
      <c r="E9" s="421">
        <v>6692332</v>
      </c>
    </row>
    <row r="10" spans="1:5" s="5" customFormat="1" ht="30" customHeight="1" x14ac:dyDescent="0.2">
      <c r="A10" s="3"/>
      <c r="B10" s="4" t="s">
        <v>0</v>
      </c>
      <c r="C10" s="362">
        <v>1500000</v>
      </c>
      <c r="D10" s="421">
        <v>1999000</v>
      </c>
      <c r="E10" s="421">
        <v>1998856</v>
      </c>
    </row>
    <row r="11" spans="1:5" s="5" customFormat="1" ht="30" customHeight="1" x14ac:dyDescent="0.2">
      <c r="A11" s="3"/>
      <c r="B11" s="4" t="s">
        <v>8</v>
      </c>
      <c r="C11" s="362">
        <v>2600000</v>
      </c>
      <c r="D11" s="421">
        <v>2341000</v>
      </c>
      <c r="E11" s="421">
        <v>2341271</v>
      </c>
    </row>
    <row r="12" spans="1:5" s="5" customFormat="1" ht="30" customHeight="1" x14ac:dyDescent="0.2">
      <c r="A12" s="652" t="s">
        <v>7</v>
      </c>
      <c r="B12" s="653"/>
      <c r="C12" s="362">
        <f>C13</f>
        <v>1800000</v>
      </c>
      <c r="D12" s="362">
        <f>D13</f>
        <v>2366000</v>
      </c>
      <c r="E12" s="362">
        <f>E13</f>
        <v>2365341</v>
      </c>
    </row>
    <row r="13" spans="1:5" ht="30" customHeight="1" x14ac:dyDescent="0.2">
      <c r="A13" s="3"/>
      <c r="B13" s="4" t="s">
        <v>1</v>
      </c>
      <c r="C13" s="362">
        <v>1800000</v>
      </c>
      <c r="D13" s="421">
        <v>2366000</v>
      </c>
      <c r="E13" s="421">
        <v>2365341</v>
      </c>
    </row>
    <row r="14" spans="1:5" s="5" customFormat="1" ht="30" customHeight="1" x14ac:dyDescent="0.2">
      <c r="A14" s="652" t="s">
        <v>9</v>
      </c>
      <c r="B14" s="653"/>
      <c r="C14" s="362">
        <f>C16+C15</f>
        <v>600000</v>
      </c>
      <c r="D14" s="362">
        <f>D16+D15</f>
        <v>593000</v>
      </c>
      <c r="E14" s="362">
        <f>E16+E15</f>
        <v>592772</v>
      </c>
    </row>
    <row r="15" spans="1:5" ht="30" customHeight="1" x14ac:dyDescent="0.2">
      <c r="A15" s="3"/>
      <c r="B15" s="4" t="s">
        <v>387</v>
      </c>
      <c r="C15" s="362">
        <v>500000</v>
      </c>
      <c r="D15" s="421">
        <v>493000</v>
      </c>
      <c r="E15" s="421">
        <v>349105</v>
      </c>
    </row>
    <row r="16" spans="1:5" ht="30" customHeight="1" x14ac:dyDescent="0.2">
      <c r="A16" s="3"/>
      <c r="B16" s="4" t="s">
        <v>5</v>
      </c>
      <c r="C16" s="362">
        <v>100000</v>
      </c>
      <c r="D16" s="421">
        <v>100000</v>
      </c>
      <c r="E16" s="421">
        <v>243667</v>
      </c>
    </row>
    <row r="17" spans="1:5" s="5" customFormat="1" ht="30" customHeight="1" thickBot="1" x14ac:dyDescent="0.25">
      <c r="A17" s="650" t="s">
        <v>2</v>
      </c>
      <c r="B17" s="651"/>
      <c r="C17" s="363">
        <f>C14+C12+C7</f>
        <v>16500000</v>
      </c>
      <c r="D17" s="363">
        <f>D14+D12+D7</f>
        <v>19162000</v>
      </c>
      <c r="E17" s="363">
        <f>E14+E12+E7</f>
        <v>19160288</v>
      </c>
    </row>
    <row r="18" spans="1:5" ht="30" customHeight="1" x14ac:dyDescent="0.2"/>
    <row r="20" spans="1:5" x14ac:dyDescent="0.2">
      <c r="A20" s="8"/>
      <c r="B20" s="8"/>
    </row>
    <row r="21" spans="1:5" x14ac:dyDescent="0.2">
      <c r="A21" s="8"/>
      <c r="B21" s="9"/>
    </row>
    <row r="22" spans="1:5" x14ac:dyDescent="0.2">
      <c r="A22" s="8"/>
      <c r="B22" s="8"/>
    </row>
    <row r="23" spans="1:5" x14ac:dyDescent="0.2">
      <c r="A23" s="8"/>
      <c r="B23" s="8"/>
    </row>
  </sheetData>
  <mergeCells count="8">
    <mergeCell ref="A1:E1"/>
    <mergeCell ref="A3:E3"/>
    <mergeCell ref="A4:E4"/>
    <mergeCell ref="A17:B17"/>
    <mergeCell ref="A14:B14"/>
    <mergeCell ref="A7:B7"/>
    <mergeCell ref="A12:B12"/>
    <mergeCell ref="A6:B6"/>
  </mergeCells>
  <phoneticPr fontId="0" type="noConversion"/>
  <printOptions horizontalCentered="1"/>
  <pageMargins left="0.59055118110236227" right="0.59055118110236227" top="0.6692913385826772" bottom="0.59055118110236227" header="0.39370078740157483" footer="0.19685039370078741"/>
  <pageSetup paperSize="9" scale="85" firstPageNumber="3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37"/>
  <sheetViews>
    <sheetView view="pageBreakPreview" zoomScale="115" zoomScaleNormal="100" zoomScaleSheetLayoutView="115" workbookViewId="0">
      <selection sqref="A1:I1"/>
    </sheetView>
  </sheetViews>
  <sheetFormatPr defaultRowHeight="12.75" x14ac:dyDescent="0.2"/>
  <cols>
    <col min="1" max="1" width="7.140625" customWidth="1"/>
    <col min="3" max="3" width="32.7109375" customWidth="1"/>
    <col min="4" max="4" width="12.140625" customWidth="1"/>
    <col min="5" max="5" width="12.7109375" customWidth="1"/>
    <col min="6" max="6" width="13.85546875" customWidth="1"/>
    <col min="7" max="7" width="12.28515625" customWidth="1"/>
    <col min="8" max="9" width="12" customWidth="1"/>
  </cols>
  <sheetData>
    <row r="1" spans="1:9" ht="41.25" customHeight="1" x14ac:dyDescent="0.2">
      <c r="A1" s="658" t="s">
        <v>675</v>
      </c>
      <c r="B1" s="658"/>
      <c r="C1" s="658"/>
      <c r="D1" s="658"/>
      <c r="E1" s="658"/>
      <c r="F1" s="658"/>
      <c r="G1" s="658"/>
      <c r="H1" s="658"/>
      <c r="I1" s="658"/>
    </row>
    <row r="2" spans="1:9" x14ac:dyDescent="0.2">
      <c r="A2" s="270"/>
      <c r="I2" s="412" t="s">
        <v>412</v>
      </c>
    </row>
    <row r="3" spans="1:9" x14ac:dyDescent="0.2">
      <c r="A3" s="662" t="s">
        <v>394</v>
      </c>
      <c r="B3" s="662"/>
      <c r="C3" s="662"/>
      <c r="D3" s="662"/>
      <c r="E3" s="662"/>
      <c r="F3" s="662"/>
      <c r="G3" s="662"/>
      <c r="H3" s="662"/>
      <c r="I3" s="662"/>
    </row>
    <row r="4" spans="1:9" ht="13.5" thickBot="1" x14ac:dyDescent="0.25">
      <c r="A4" s="161"/>
    </row>
    <row r="5" spans="1:9" ht="39.75" customHeight="1" thickBot="1" x14ac:dyDescent="0.25">
      <c r="A5" s="299"/>
      <c r="B5" s="660" t="s">
        <v>188</v>
      </c>
      <c r="C5" s="661"/>
      <c r="D5" s="659" t="s">
        <v>250</v>
      </c>
      <c r="E5" s="660"/>
      <c r="F5" s="661"/>
      <c r="G5" s="659" t="s">
        <v>251</v>
      </c>
      <c r="H5" s="660"/>
      <c r="I5" s="661"/>
    </row>
    <row r="6" spans="1:9" x14ac:dyDescent="0.2">
      <c r="A6" s="300" t="s">
        <v>252</v>
      </c>
      <c r="B6" s="293"/>
      <c r="C6" s="297"/>
      <c r="D6" s="282"/>
      <c r="E6" s="293"/>
      <c r="F6" s="293"/>
      <c r="G6" s="293"/>
      <c r="H6" s="293"/>
      <c r="I6" s="293"/>
    </row>
    <row r="7" spans="1:9" ht="13.5" thickBot="1" x14ac:dyDescent="0.25">
      <c r="A7" s="301" t="s">
        <v>256</v>
      </c>
      <c r="B7" s="294" t="s">
        <v>62</v>
      </c>
      <c r="C7" s="298" t="s">
        <v>189</v>
      </c>
      <c r="D7" s="280" t="s">
        <v>253</v>
      </c>
      <c r="E7" s="294" t="s">
        <v>254</v>
      </c>
      <c r="F7" s="294" t="s">
        <v>255</v>
      </c>
      <c r="G7" s="294" t="s">
        <v>253</v>
      </c>
      <c r="H7" s="294" t="s">
        <v>254</v>
      </c>
      <c r="I7" s="294" t="s">
        <v>255</v>
      </c>
    </row>
    <row r="8" spans="1:9" ht="16.5" customHeight="1" thickBot="1" x14ac:dyDescent="0.25">
      <c r="A8" s="663" t="s">
        <v>257</v>
      </c>
      <c r="B8" s="664"/>
      <c r="C8" s="664"/>
      <c r="D8" s="354"/>
      <c r="E8" s="272"/>
      <c r="F8" s="272"/>
      <c r="G8" s="272"/>
      <c r="H8" s="272"/>
      <c r="I8" s="272"/>
    </row>
    <row r="9" spans="1:9" ht="13.5" thickBot="1" x14ac:dyDescent="0.25">
      <c r="A9" s="278">
        <v>1</v>
      </c>
      <c r="B9" s="304" t="s">
        <v>210</v>
      </c>
      <c r="C9" s="295" t="s">
        <v>258</v>
      </c>
      <c r="D9" s="525">
        <v>28179650</v>
      </c>
      <c r="E9" s="526">
        <v>21691532</v>
      </c>
      <c r="F9" s="526">
        <f>10867123+250002</f>
        <v>11117125</v>
      </c>
      <c r="G9" s="527">
        <v>24824052</v>
      </c>
      <c r="H9" s="526">
        <f>25210085+2558928</f>
        <v>27769013</v>
      </c>
      <c r="I9" s="526">
        <f>27778703+2675759</f>
        <v>30454462</v>
      </c>
    </row>
    <row r="10" spans="1:9" ht="13.5" thickBot="1" x14ac:dyDescent="0.25">
      <c r="A10" s="278">
        <v>1</v>
      </c>
      <c r="B10" s="304" t="s">
        <v>273</v>
      </c>
      <c r="C10" s="295" t="s">
        <v>259</v>
      </c>
      <c r="D10" s="528">
        <v>1524000</v>
      </c>
      <c r="E10" s="526">
        <v>1440022</v>
      </c>
      <c r="F10" s="526">
        <f>1440022+8537853</f>
        <v>9977875</v>
      </c>
      <c r="G10" s="527"/>
      <c r="H10" s="526">
        <v>37000</v>
      </c>
      <c r="I10" s="526">
        <v>37000</v>
      </c>
    </row>
    <row r="11" spans="1:9" ht="13.5" thickBot="1" x14ac:dyDescent="0.25">
      <c r="A11" s="278">
        <v>1</v>
      </c>
      <c r="B11" s="304" t="s">
        <v>274</v>
      </c>
      <c r="C11" s="295" t="s">
        <v>221</v>
      </c>
      <c r="D11" s="528">
        <v>11724710</v>
      </c>
      <c r="E11" s="526">
        <v>4617214</v>
      </c>
      <c r="F11" s="526">
        <v>4617214</v>
      </c>
      <c r="G11" s="527"/>
      <c r="H11" s="526"/>
      <c r="I11" s="526"/>
    </row>
    <row r="12" spans="1:9" ht="13.5" thickBot="1" x14ac:dyDescent="0.25">
      <c r="A12" s="278">
        <v>1</v>
      </c>
      <c r="B12" s="304" t="s">
        <v>275</v>
      </c>
      <c r="C12" s="295" t="s">
        <v>260</v>
      </c>
      <c r="D12" s="528">
        <v>4000000</v>
      </c>
      <c r="E12" s="526">
        <v>2208990</v>
      </c>
      <c r="F12" s="526">
        <v>2208990</v>
      </c>
      <c r="G12" s="527"/>
      <c r="H12" s="526"/>
      <c r="I12" s="526"/>
    </row>
    <row r="13" spans="1:9" ht="13.5" thickBot="1" x14ac:dyDescent="0.25">
      <c r="A13" s="278">
        <v>1</v>
      </c>
      <c r="B13" s="304" t="s">
        <v>276</v>
      </c>
      <c r="C13" s="295" t="s">
        <v>261</v>
      </c>
      <c r="D13" s="528">
        <v>1183400</v>
      </c>
      <c r="E13" s="526">
        <v>721118</v>
      </c>
      <c r="F13" s="526">
        <v>721118</v>
      </c>
      <c r="G13" s="527"/>
      <c r="H13" s="526"/>
      <c r="I13" s="526"/>
    </row>
    <row r="14" spans="1:9" ht="13.5" thickBot="1" x14ac:dyDescent="0.25">
      <c r="A14" s="278">
        <v>1</v>
      </c>
      <c r="B14" s="304" t="s">
        <v>208</v>
      </c>
      <c r="C14" s="295" t="s">
        <v>200</v>
      </c>
      <c r="D14" s="528">
        <v>180000</v>
      </c>
      <c r="E14" s="526">
        <v>0</v>
      </c>
      <c r="F14" s="526">
        <v>0</v>
      </c>
      <c r="G14" s="527"/>
      <c r="H14" s="526"/>
      <c r="I14" s="526"/>
    </row>
    <row r="15" spans="1:9" ht="13.5" thickBot="1" x14ac:dyDescent="0.25">
      <c r="A15" s="278">
        <v>1</v>
      </c>
      <c r="B15" s="304" t="s">
        <v>204</v>
      </c>
      <c r="C15" s="295" t="s">
        <v>195</v>
      </c>
      <c r="D15" s="528">
        <v>2220000</v>
      </c>
      <c r="E15" s="526">
        <v>2120000</v>
      </c>
      <c r="F15" s="526">
        <v>2120000</v>
      </c>
      <c r="G15" s="527"/>
      <c r="H15" s="526"/>
      <c r="I15" s="526"/>
    </row>
    <row r="16" spans="1:9" ht="13.5" thickBot="1" x14ac:dyDescent="0.25">
      <c r="A16" s="278">
        <v>1</v>
      </c>
      <c r="B16" s="304" t="s">
        <v>206</v>
      </c>
      <c r="C16" s="295" t="s">
        <v>465</v>
      </c>
      <c r="D16" s="528">
        <v>2040000</v>
      </c>
      <c r="E16" s="526">
        <v>2040000</v>
      </c>
      <c r="F16" s="526">
        <v>3212585</v>
      </c>
      <c r="G16" s="527"/>
      <c r="H16" s="526"/>
      <c r="I16" s="526"/>
    </row>
    <row r="17" spans="1:9" ht="13.5" thickBot="1" x14ac:dyDescent="0.25">
      <c r="A17" s="278">
        <v>1</v>
      </c>
      <c r="B17" s="304" t="s">
        <v>205</v>
      </c>
      <c r="C17" s="295" t="s">
        <v>196</v>
      </c>
      <c r="D17" s="528">
        <v>250000</v>
      </c>
      <c r="E17" s="526">
        <v>175000</v>
      </c>
      <c r="F17" s="526">
        <v>175000</v>
      </c>
      <c r="G17" s="527"/>
      <c r="H17" s="526"/>
      <c r="I17" s="526"/>
    </row>
    <row r="18" spans="1:9" ht="13.5" thickBot="1" x14ac:dyDescent="0.25">
      <c r="A18" s="278">
        <v>1</v>
      </c>
      <c r="B18" s="304" t="s">
        <v>207</v>
      </c>
      <c r="C18" s="295" t="s">
        <v>198</v>
      </c>
      <c r="D18" s="528">
        <v>50000</v>
      </c>
      <c r="E18" s="526">
        <v>50000</v>
      </c>
      <c r="F18" s="526">
        <v>50000</v>
      </c>
      <c r="G18" s="527"/>
      <c r="H18" s="526"/>
      <c r="I18" s="526"/>
    </row>
    <row r="19" spans="1:9" ht="13.5" thickBot="1" x14ac:dyDescent="0.25">
      <c r="A19" s="278">
        <v>1</v>
      </c>
      <c r="B19" s="304" t="s">
        <v>277</v>
      </c>
      <c r="C19" s="295" t="s">
        <v>262</v>
      </c>
      <c r="D19" s="528">
        <v>825000</v>
      </c>
      <c r="E19" s="526">
        <v>381152</v>
      </c>
      <c r="F19" s="526">
        <v>381152</v>
      </c>
      <c r="G19" s="527"/>
      <c r="H19" s="526"/>
      <c r="I19" s="526"/>
    </row>
    <row r="20" spans="1:9" ht="13.5" thickBot="1" x14ac:dyDescent="0.25">
      <c r="A20" s="278">
        <v>1</v>
      </c>
      <c r="B20" s="304" t="s">
        <v>436</v>
      </c>
      <c r="C20" s="295" t="s">
        <v>452</v>
      </c>
      <c r="D20" s="528"/>
      <c r="E20" s="526">
        <f>8399247-381152</f>
        <v>8018095</v>
      </c>
      <c r="F20" s="526">
        <f>8399247-381152</f>
        <v>8018095</v>
      </c>
      <c r="G20" s="527"/>
      <c r="H20" s="526">
        <f>1000000+123500</f>
        <v>1123500</v>
      </c>
      <c r="I20" s="526">
        <v>1123500</v>
      </c>
    </row>
    <row r="21" spans="1:9" ht="13.5" thickBot="1" x14ac:dyDescent="0.25">
      <c r="A21" s="278">
        <v>1</v>
      </c>
      <c r="B21" s="304" t="s">
        <v>211</v>
      </c>
      <c r="C21" s="295" t="s">
        <v>131</v>
      </c>
      <c r="D21" s="528">
        <v>3869366</v>
      </c>
      <c r="E21" s="526">
        <v>155526</v>
      </c>
      <c r="F21" s="526">
        <v>155526</v>
      </c>
      <c r="G21" s="527">
        <v>1800000</v>
      </c>
      <c r="H21" s="526">
        <f>1827246</f>
        <v>1827246</v>
      </c>
      <c r="I21" s="526">
        <v>1827246</v>
      </c>
    </row>
    <row r="22" spans="1:9" ht="13.5" thickBot="1" x14ac:dyDescent="0.25">
      <c r="A22" s="278">
        <v>1</v>
      </c>
      <c r="B22" s="304" t="s">
        <v>213</v>
      </c>
      <c r="C22" s="295" t="s">
        <v>263</v>
      </c>
      <c r="D22" s="528">
        <v>320000</v>
      </c>
      <c r="E22" s="526">
        <v>8913947</v>
      </c>
      <c r="F22" s="526">
        <v>8913947</v>
      </c>
      <c r="G22" s="527"/>
      <c r="H22" s="526">
        <v>61000</v>
      </c>
      <c r="I22" s="526">
        <v>60400</v>
      </c>
    </row>
    <row r="23" spans="1:9" ht="13.5" thickBot="1" x14ac:dyDescent="0.25">
      <c r="A23" s="278">
        <v>1</v>
      </c>
      <c r="B23" s="304" t="s">
        <v>278</v>
      </c>
      <c r="C23" s="295" t="s">
        <v>264</v>
      </c>
      <c r="D23" s="528">
        <v>6256000</v>
      </c>
      <c r="E23" s="526"/>
      <c r="F23" s="526"/>
      <c r="G23" s="527">
        <f>'2a'!M23</f>
        <v>2920330</v>
      </c>
      <c r="H23" s="526">
        <v>3716000</v>
      </c>
      <c r="I23" s="526">
        <v>2920330</v>
      </c>
    </row>
    <row r="24" spans="1:9" ht="13.5" thickBot="1" x14ac:dyDescent="0.25">
      <c r="A24" s="278">
        <v>1</v>
      </c>
      <c r="B24" s="304" t="s">
        <v>214</v>
      </c>
      <c r="C24" s="295" t="s">
        <v>265</v>
      </c>
      <c r="D24" s="528">
        <v>277610</v>
      </c>
      <c r="E24" s="526">
        <v>2200176</v>
      </c>
      <c r="F24" s="526">
        <v>2200176</v>
      </c>
      <c r="G24" s="527">
        <v>240000</v>
      </c>
      <c r="H24" s="526">
        <v>1637579</v>
      </c>
      <c r="I24" s="526">
        <v>1637579</v>
      </c>
    </row>
    <row r="25" spans="1:9" ht="13.5" thickBot="1" x14ac:dyDescent="0.25">
      <c r="A25" s="278">
        <v>1</v>
      </c>
      <c r="B25" s="304" t="s">
        <v>359</v>
      </c>
      <c r="C25" s="295" t="s">
        <v>360</v>
      </c>
      <c r="D25" s="528"/>
      <c r="E25" s="526">
        <v>4493900</v>
      </c>
      <c r="F25" s="526">
        <v>808175</v>
      </c>
      <c r="G25" s="527"/>
      <c r="H25" s="526">
        <v>4493900</v>
      </c>
      <c r="I25" s="526">
        <v>4493900</v>
      </c>
    </row>
    <row r="26" spans="1:9" ht="13.5" thickBot="1" x14ac:dyDescent="0.25">
      <c r="A26" s="278">
        <v>1</v>
      </c>
      <c r="B26" s="304" t="s">
        <v>280</v>
      </c>
      <c r="C26" s="295" t="s">
        <v>266</v>
      </c>
      <c r="D26" s="528">
        <v>9678744</v>
      </c>
      <c r="E26" s="526">
        <v>38248071</v>
      </c>
      <c r="F26" s="526">
        <v>38248071</v>
      </c>
      <c r="G26" s="527"/>
      <c r="H26" s="526"/>
      <c r="I26" s="526"/>
    </row>
    <row r="27" spans="1:9" ht="13.5" thickBot="1" x14ac:dyDescent="0.25">
      <c r="A27" s="278">
        <v>1</v>
      </c>
      <c r="B27" s="304" t="s">
        <v>281</v>
      </c>
      <c r="C27" s="295" t="s">
        <v>267</v>
      </c>
      <c r="D27" s="528"/>
      <c r="E27" s="526"/>
      <c r="F27" s="526"/>
      <c r="G27" s="527">
        <v>16500000</v>
      </c>
      <c r="H27" s="526">
        <v>19162000</v>
      </c>
      <c r="I27" s="526">
        <v>19160288</v>
      </c>
    </row>
    <row r="28" spans="1:9" ht="17.25" customHeight="1" thickBot="1" x14ac:dyDescent="0.25">
      <c r="A28" s="278">
        <v>1</v>
      </c>
      <c r="B28" s="304" t="s">
        <v>209</v>
      </c>
      <c r="C28" s="295" t="s">
        <v>268</v>
      </c>
      <c r="D28" s="528"/>
      <c r="E28" s="526">
        <f>5404580+2345353</f>
        <v>7749933</v>
      </c>
      <c r="F28" s="526">
        <v>5404580</v>
      </c>
      <c r="G28" s="527">
        <f>41995682-240000</f>
        <v>41755682</v>
      </c>
      <c r="H28" s="526">
        <f>29727106+6192000+553600+140000+1273810+10140+14996308+5336822</f>
        <v>58229786</v>
      </c>
      <c r="I28" s="526">
        <f>29727106+6192000+553600+140000+1273810+10140+14996308+5336822</f>
        <v>58229786</v>
      </c>
    </row>
    <row r="29" spans="1:9" ht="13.5" thickBot="1" x14ac:dyDescent="0.25">
      <c r="A29" s="278">
        <v>1</v>
      </c>
      <c r="B29" s="304" t="s">
        <v>282</v>
      </c>
      <c r="C29" s="295" t="s">
        <v>269</v>
      </c>
      <c r="D29" s="528">
        <v>16208545</v>
      </c>
      <c r="E29" s="526">
        <v>15281897</v>
      </c>
      <c r="F29" s="526">
        <v>15281897</v>
      </c>
      <c r="G29" s="527">
        <v>9801183</v>
      </c>
      <c r="H29" s="526">
        <v>9996183</v>
      </c>
      <c r="I29" s="526">
        <f>855+9996183</f>
        <v>9997038</v>
      </c>
    </row>
    <row r="30" spans="1:9" ht="13.5" thickBot="1" x14ac:dyDescent="0.25">
      <c r="A30" s="278">
        <v>1</v>
      </c>
      <c r="B30" s="304" t="s">
        <v>279</v>
      </c>
      <c r="C30" s="295" t="s">
        <v>270</v>
      </c>
      <c r="D30" s="528">
        <v>29349683</v>
      </c>
      <c r="E30" s="526">
        <f>64455+19753834</f>
        <v>19818289</v>
      </c>
      <c r="F30" s="526">
        <f>19753834+64455</f>
        <v>19818289</v>
      </c>
      <c r="G30" s="527">
        <v>26296231</v>
      </c>
      <c r="H30" s="526">
        <f>16557531+3010125</f>
        <v>19567656</v>
      </c>
      <c r="I30" s="526">
        <f>3010125+15827531+730000</f>
        <v>19567656</v>
      </c>
    </row>
    <row r="31" spans="1:9" ht="13.5" thickBot="1" x14ac:dyDescent="0.25">
      <c r="A31" s="278">
        <v>1</v>
      </c>
      <c r="B31" s="304" t="s">
        <v>454</v>
      </c>
      <c r="C31" s="295" t="s">
        <v>453</v>
      </c>
      <c r="D31" s="528"/>
      <c r="E31" s="526">
        <v>9564108</v>
      </c>
      <c r="F31" s="526">
        <v>9564108</v>
      </c>
      <c r="G31" s="527">
        <v>0</v>
      </c>
      <c r="H31" s="526">
        <v>5193025</v>
      </c>
      <c r="I31" s="526">
        <v>5193025</v>
      </c>
    </row>
    <row r="32" spans="1:9" ht="13.5" thickBot="1" x14ac:dyDescent="0.25">
      <c r="A32" s="278">
        <v>1</v>
      </c>
      <c r="B32" s="304" t="s">
        <v>283</v>
      </c>
      <c r="C32" s="295" t="s">
        <v>271</v>
      </c>
      <c r="D32" s="528">
        <v>3836040</v>
      </c>
      <c r="E32" s="526">
        <v>2614827</v>
      </c>
      <c r="F32" s="526">
        <v>2614827</v>
      </c>
      <c r="G32" s="526">
        <v>0</v>
      </c>
      <c r="H32" s="586">
        <v>1312000</v>
      </c>
      <c r="I32" s="526">
        <v>1311010</v>
      </c>
    </row>
    <row r="33" spans="1:9" ht="13.5" thickBot="1" x14ac:dyDescent="0.25">
      <c r="A33" s="302">
        <v>1</v>
      </c>
      <c r="B33" s="305" t="s">
        <v>284</v>
      </c>
      <c r="C33" s="296" t="s">
        <v>272</v>
      </c>
      <c r="D33" s="528">
        <v>2960400</v>
      </c>
      <c r="E33" s="529">
        <v>2767402</v>
      </c>
      <c r="F33" s="529">
        <v>2767402</v>
      </c>
      <c r="G33" s="529">
        <v>0</v>
      </c>
      <c r="H33" s="529">
        <f>1146750-1439</f>
        <v>1145311</v>
      </c>
      <c r="I33" s="529">
        <v>1146750</v>
      </c>
    </row>
    <row r="34" spans="1:9" ht="15" thickTop="1" thickBot="1" x14ac:dyDescent="0.25">
      <c r="A34" s="306" t="s">
        <v>2</v>
      </c>
      <c r="B34" s="307"/>
      <c r="C34" s="303"/>
      <c r="D34" s="530">
        <f t="shared" ref="D34:I34" si="0">SUM(D9:D33)</f>
        <v>124933148</v>
      </c>
      <c r="E34" s="530">
        <f t="shared" si="0"/>
        <v>155271199</v>
      </c>
      <c r="F34" s="530">
        <f t="shared" si="0"/>
        <v>148376152</v>
      </c>
      <c r="G34" s="530">
        <f t="shared" si="0"/>
        <v>124137478</v>
      </c>
      <c r="H34" s="530">
        <f t="shared" si="0"/>
        <v>155271199</v>
      </c>
      <c r="I34" s="530">
        <f t="shared" si="0"/>
        <v>157159970</v>
      </c>
    </row>
    <row r="35" spans="1:9" x14ac:dyDescent="0.2">
      <c r="A35" s="271"/>
      <c r="B35" s="271"/>
      <c r="C35" s="271"/>
      <c r="D35" s="271"/>
      <c r="E35" s="271"/>
      <c r="F35" s="271"/>
      <c r="G35" s="271"/>
      <c r="H35" s="271"/>
      <c r="I35" s="271"/>
    </row>
    <row r="36" spans="1:9" ht="18.75" x14ac:dyDescent="0.2">
      <c r="A36" s="266"/>
    </row>
    <row r="37" spans="1:9" ht="15.75" x14ac:dyDescent="0.2">
      <c r="A37" s="269"/>
    </row>
  </sheetData>
  <mergeCells count="6">
    <mergeCell ref="A1:I1"/>
    <mergeCell ref="D5:F5"/>
    <mergeCell ref="A3:I3"/>
    <mergeCell ref="A8:C8"/>
    <mergeCell ref="B5:C5"/>
    <mergeCell ref="G5:I5"/>
  </mergeCells>
  <pageMargins left="0.7" right="0.7" top="0.75" bottom="0.75" header="0.3" footer="0.3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5">
    <tabColor theme="5" tint="0.39997558519241921"/>
  </sheetPr>
  <dimension ref="A1:O43"/>
  <sheetViews>
    <sheetView view="pageBreakPreview" topLeftCell="A25" zoomScale="115" zoomScaleNormal="100" zoomScaleSheetLayoutView="115" workbookViewId="0">
      <selection sqref="A1:M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1.5703125" style="6" customWidth="1"/>
    <col min="8" max="8" width="11.28515625" style="2" bestFit="1" customWidth="1"/>
    <col min="9" max="9" width="10.85546875" style="2" customWidth="1"/>
    <col min="10" max="10" width="11.85546875" style="2" customWidth="1"/>
    <col min="11" max="11" width="13.42578125" style="2" customWidth="1"/>
    <col min="12" max="13" width="10.85546875" style="2" customWidth="1"/>
    <col min="14" max="16384" width="9.140625" style="2"/>
  </cols>
  <sheetData>
    <row r="1" spans="1:13" ht="15" customHeight="1" x14ac:dyDescent="0.2">
      <c r="A1" s="691" t="s">
        <v>676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</row>
    <row r="2" spans="1:13" ht="15.75" customHeight="1" x14ac:dyDescent="0.2">
      <c r="L2" s="396" t="s">
        <v>413</v>
      </c>
    </row>
    <row r="3" spans="1:13" ht="15.75" customHeight="1" x14ac:dyDescent="0.2">
      <c r="A3" s="635" t="s">
        <v>393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</row>
    <row r="4" spans="1:13" ht="15.75" customHeight="1" x14ac:dyDescent="0.2">
      <c r="A4" s="635" t="s">
        <v>383</v>
      </c>
      <c r="B4" s="635"/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</row>
    <row r="5" spans="1:13" ht="15.75" customHeight="1" x14ac:dyDescent="0.2">
      <c r="A5" s="10"/>
      <c r="B5" s="10"/>
      <c r="C5" s="10"/>
      <c r="D5" s="10"/>
      <c r="E5" s="15"/>
      <c r="F5" s="15"/>
      <c r="G5" s="16"/>
    </row>
    <row r="6" spans="1:13" ht="9" customHeight="1" thickBot="1" x14ac:dyDescent="0.25">
      <c r="E6" s="17"/>
      <c r="F6" s="17"/>
    </row>
    <row r="7" spans="1:13" ht="21" customHeight="1" x14ac:dyDescent="0.2">
      <c r="A7" s="701" t="s">
        <v>16</v>
      </c>
      <c r="B7" s="702"/>
      <c r="C7" s="702"/>
      <c r="D7" s="707" t="s">
        <v>64</v>
      </c>
      <c r="E7" s="708"/>
      <c r="F7" s="708"/>
      <c r="G7" s="709"/>
      <c r="H7" s="665" t="s">
        <v>431</v>
      </c>
      <c r="I7" s="666"/>
      <c r="J7" s="667"/>
      <c r="K7" s="665" t="s">
        <v>255</v>
      </c>
      <c r="L7" s="666"/>
      <c r="M7" s="667"/>
    </row>
    <row r="8" spans="1:13" ht="39.75" customHeight="1" x14ac:dyDescent="0.2">
      <c r="A8" s="703"/>
      <c r="B8" s="704"/>
      <c r="C8" s="704"/>
      <c r="D8" s="157" t="s">
        <v>17</v>
      </c>
      <c r="E8" s="19" t="s">
        <v>134</v>
      </c>
      <c r="F8" s="141" t="s">
        <v>115</v>
      </c>
      <c r="G8" s="679" t="s">
        <v>135</v>
      </c>
      <c r="H8" s="431" t="s">
        <v>134</v>
      </c>
      <c r="I8" s="432" t="s">
        <v>115</v>
      </c>
      <c r="J8" s="668" t="s">
        <v>135</v>
      </c>
      <c r="K8" s="431" t="s">
        <v>134</v>
      </c>
      <c r="L8" s="432" t="s">
        <v>115</v>
      </c>
      <c r="M8" s="668" t="s">
        <v>135</v>
      </c>
    </row>
    <row r="9" spans="1:13" ht="30" customHeight="1" thickBot="1" x14ac:dyDescent="0.25">
      <c r="A9" s="705"/>
      <c r="B9" s="706"/>
      <c r="C9" s="706"/>
      <c r="D9" s="158" t="s">
        <v>19</v>
      </c>
      <c r="E9" s="698" t="s">
        <v>20</v>
      </c>
      <c r="F9" s="699"/>
      <c r="G9" s="680"/>
      <c r="H9" s="670" t="s">
        <v>20</v>
      </c>
      <c r="I9" s="671"/>
      <c r="J9" s="669"/>
      <c r="K9" s="670" t="s">
        <v>20</v>
      </c>
      <c r="L9" s="671"/>
      <c r="M9" s="669"/>
    </row>
    <row r="10" spans="1:13" ht="15.75" customHeight="1" x14ac:dyDescent="0.2">
      <c r="A10" s="689" t="s">
        <v>21</v>
      </c>
      <c r="B10" s="690"/>
      <c r="C10" s="690"/>
      <c r="D10" s="181">
        <f>D11+D18+D19</f>
        <v>0</v>
      </c>
      <c r="E10" s="377">
        <f>E11+E18+E19</f>
        <v>51007766</v>
      </c>
      <c r="F10" s="436">
        <f>F11+F18+F19</f>
        <v>49458648</v>
      </c>
      <c r="G10" s="441">
        <f>SUM(D10:F10)</f>
        <v>100466414</v>
      </c>
      <c r="H10" s="434">
        <f>H11+H18+H19</f>
        <v>60820875</v>
      </c>
      <c r="I10" s="377">
        <f>I11+I18+I19</f>
        <v>47581013</v>
      </c>
      <c r="J10" s="492">
        <f>SUM(H10:I10)</f>
        <v>108401888</v>
      </c>
      <c r="K10" s="434">
        <f>K11+K18+K19</f>
        <v>58946791</v>
      </c>
      <c r="L10" s="377">
        <f>L11+L18+L19</f>
        <v>46909472</v>
      </c>
      <c r="M10" s="492">
        <f>SUM(K10:L10)</f>
        <v>105856263</v>
      </c>
    </row>
    <row r="11" spans="1:13" ht="15.75" customHeight="1" x14ac:dyDescent="0.2">
      <c r="A11" s="681" t="s">
        <v>22</v>
      </c>
      <c r="B11" s="682" t="s">
        <v>21</v>
      </c>
      <c r="C11" s="682"/>
      <c r="D11" s="183">
        <f>SUM(D12:D16)</f>
        <v>0</v>
      </c>
      <c r="E11" s="378">
        <f>SUM(E12:E16)</f>
        <v>47707866</v>
      </c>
      <c r="F11" s="183">
        <f>SUM(F12:F16)</f>
        <v>49458648</v>
      </c>
      <c r="G11" s="439">
        <f>SUM(D11:F11)</f>
        <v>97166514</v>
      </c>
      <c r="H11" s="433">
        <f>SUM(H12:H17)</f>
        <v>52961475</v>
      </c>
      <c r="I11" s="378">
        <f>SUM(I12:I16)</f>
        <v>47581013</v>
      </c>
      <c r="J11" s="493">
        <f t="shared" ref="J11:J39" si="0">SUM(H11:I11)</f>
        <v>100542488</v>
      </c>
      <c r="K11" s="433">
        <f>SUM(K12:K17)</f>
        <v>51088938</v>
      </c>
      <c r="L11" s="378">
        <f>SUM(L12:L16)</f>
        <v>46909472</v>
      </c>
      <c r="M11" s="493">
        <f t="shared" ref="M11:M22" si="1">SUM(K11:L11)</f>
        <v>97998410</v>
      </c>
    </row>
    <row r="12" spans="1:13" ht="15.75" customHeight="1" x14ac:dyDescent="0.2">
      <c r="A12" s="681"/>
      <c r="B12" s="23" t="s">
        <v>22</v>
      </c>
      <c r="C12" s="532" t="s">
        <v>23</v>
      </c>
      <c r="D12" s="177"/>
      <c r="E12" s="172">
        <f>'4önk'!E12</f>
        <v>10695490</v>
      </c>
      <c r="F12" s="440">
        <f>'4ovi'!D12</f>
        <v>25365000</v>
      </c>
      <c r="G12" s="439">
        <f>SUM(D12:F12)</f>
        <v>36060490</v>
      </c>
      <c r="H12" s="172">
        <v>14415388</v>
      </c>
      <c r="I12" s="365">
        <v>25755000</v>
      </c>
      <c r="J12" s="493">
        <f t="shared" si="0"/>
        <v>40170388</v>
      </c>
      <c r="K12" s="172">
        <v>14344387</v>
      </c>
      <c r="L12" s="365">
        <v>25488662</v>
      </c>
      <c r="M12" s="493">
        <f t="shared" si="1"/>
        <v>39833049</v>
      </c>
    </row>
    <row r="13" spans="1:13" ht="15.75" customHeight="1" x14ac:dyDescent="0.2">
      <c r="A13" s="681"/>
      <c r="B13" s="23" t="s">
        <v>24</v>
      </c>
      <c r="C13" s="532" t="s">
        <v>25</v>
      </c>
      <c r="D13" s="177"/>
      <c r="E13" s="172">
        <f>'4önk'!E13</f>
        <v>2116696</v>
      </c>
      <c r="F13" s="440">
        <f>'4ovi'!D13</f>
        <v>4931675</v>
      </c>
      <c r="G13" s="439">
        <f t="shared" ref="G13:G43" si="2">SUM(D13:F13)</f>
        <v>7048371</v>
      </c>
      <c r="H13" s="172">
        <v>2444196</v>
      </c>
      <c r="I13" s="365">
        <v>4931675</v>
      </c>
      <c r="J13" s="493">
        <f t="shared" si="0"/>
        <v>7375871</v>
      </c>
      <c r="K13" s="172">
        <v>2443597</v>
      </c>
      <c r="L13" s="365">
        <v>4843817</v>
      </c>
      <c r="M13" s="493">
        <f t="shared" si="1"/>
        <v>7287414</v>
      </c>
    </row>
    <row r="14" spans="1:13" ht="15.75" customHeight="1" x14ac:dyDescent="0.2">
      <c r="A14" s="681"/>
      <c r="B14" s="23" t="s">
        <v>26</v>
      </c>
      <c r="C14" s="532" t="s">
        <v>27</v>
      </c>
      <c r="D14" s="177"/>
      <c r="E14" s="172">
        <f>'4önk'!E14</f>
        <v>29855680</v>
      </c>
      <c r="F14" s="440">
        <f>'4ovi'!D14</f>
        <v>19161973</v>
      </c>
      <c r="G14" s="439">
        <f t="shared" si="2"/>
        <v>49017653</v>
      </c>
      <c r="H14" s="172">
        <v>29195491</v>
      </c>
      <c r="I14" s="365">
        <v>16894338</v>
      </c>
      <c r="J14" s="493">
        <f t="shared" si="0"/>
        <v>46089829</v>
      </c>
      <c r="K14" s="172">
        <v>27398716</v>
      </c>
      <c r="L14" s="365">
        <v>16576993</v>
      </c>
      <c r="M14" s="493">
        <f t="shared" si="1"/>
        <v>43975709</v>
      </c>
    </row>
    <row r="15" spans="1:13" ht="15.75" customHeight="1" x14ac:dyDescent="0.2">
      <c r="A15" s="681"/>
      <c r="B15" s="23" t="s">
        <v>28</v>
      </c>
      <c r="C15" s="532" t="s">
        <v>29</v>
      </c>
      <c r="D15" s="177"/>
      <c r="E15" s="172">
        <f>'4önk'!E15</f>
        <v>0</v>
      </c>
      <c r="F15" s="440">
        <f>'4ovi'!D15</f>
        <v>0</v>
      </c>
      <c r="G15" s="439">
        <f t="shared" si="2"/>
        <v>0</v>
      </c>
      <c r="H15" s="172">
        <f>'4önk'!I15</f>
        <v>0</v>
      </c>
      <c r="I15" s="365"/>
      <c r="J15" s="493">
        <f t="shared" si="0"/>
        <v>0</v>
      </c>
      <c r="K15" s="172">
        <f>'4önk'!L15</f>
        <v>0</v>
      </c>
      <c r="L15" s="365"/>
      <c r="M15" s="493">
        <f t="shared" si="1"/>
        <v>0</v>
      </c>
    </row>
    <row r="16" spans="1:13" ht="15.75" customHeight="1" x14ac:dyDescent="0.2">
      <c r="A16" s="681"/>
      <c r="B16" s="23" t="s">
        <v>30</v>
      </c>
      <c r="C16" s="532" t="s">
        <v>31</v>
      </c>
      <c r="D16" s="177"/>
      <c r="E16" s="172">
        <f>'4önk'!E16</f>
        <v>5040000</v>
      </c>
      <c r="F16" s="440">
        <f>'4ovi'!D16</f>
        <v>0</v>
      </c>
      <c r="G16" s="439">
        <f t="shared" si="2"/>
        <v>5040000</v>
      </c>
      <c r="H16" s="172">
        <v>4090000</v>
      </c>
      <c r="I16" s="365"/>
      <c r="J16" s="493">
        <f t="shared" si="0"/>
        <v>4090000</v>
      </c>
      <c r="K16" s="172">
        <v>4086589</v>
      </c>
      <c r="L16" s="365"/>
      <c r="M16" s="493">
        <f t="shared" si="1"/>
        <v>4086589</v>
      </c>
    </row>
    <row r="17" spans="1:15" ht="15.75" customHeight="1" x14ac:dyDescent="0.2">
      <c r="A17" s="531"/>
      <c r="B17" s="23" t="s">
        <v>91</v>
      </c>
      <c r="C17" s="532" t="s">
        <v>440</v>
      </c>
      <c r="D17" s="177"/>
      <c r="E17" s="172">
        <v>0</v>
      </c>
      <c r="F17" s="440">
        <v>0</v>
      </c>
      <c r="G17" s="439">
        <v>0</v>
      </c>
      <c r="H17" s="172">
        <v>2816400</v>
      </c>
      <c r="I17" s="365"/>
      <c r="J17" s="493">
        <f t="shared" si="0"/>
        <v>2816400</v>
      </c>
      <c r="K17" s="172">
        <v>2815649</v>
      </c>
      <c r="L17" s="365"/>
      <c r="M17" s="493">
        <f t="shared" si="1"/>
        <v>2815649</v>
      </c>
    </row>
    <row r="18" spans="1:15" s="25" customFormat="1" ht="15.75" customHeight="1" x14ac:dyDescent="0.2">
      <c r="A18" s="531" t="s">
        <v>24</v>
      </c>
      <c r="B18" s="672" t="s">
        <v>32</v>
      </c>
      <c r="C18" s="672"/>
      <c r="D18" s="176"/>
      <c r="E18" s="179">
        <f>'4önk'!E18</f>
        <v>2209900</v>
      </c>
      <c r="F18" s="440">
        <f>'4ovi'!D17</f>
        <v>0</v>
      </c>
      <c r="G18" s="439">
        <f t="shared" si="2"/>
        <v>2209900</v>
      </c>
      <c r="H18" s="173">
        <v>3269900</v>
      </c>
      <c r="I18" s="497"/>
      <c r="J18" s="493">
        <f t="shared" si="0"/>
        <v>3269900</v>
      </c>
      <c r="K18" s="173">
        <v>3268953</v>
      </c>
      <c r="L18" s="497"/>
      <c r="M18" s="493">
        <f t="shared" si="1"/>
        <v>3268953</v>
      </c>
      <c r="N18" s="7"/>
      <c r="O18" s="7"/>
    </row>
    <row r="19" spans="1:15" s="25" customFormat="1" ht="15.75" customHeight="1" thickBot="1" x14ac:dyDescent="0.25">
      <c r="A19" s="26" t="s">
        <v>26</v>
      </c>
      <c r="B19" s="673" t="s">
        <v>33</v>
      </c>
      <c r="C19" s="673"/>
      <c r="D19" s="184"/>
      <c r="E19" s="174">
        <f>'4önk'!E19</f>
        <v>1090000</v>
      </c>
      <c r="F19" s="438">
        <f>'4ovi'!D18</f>
        <v>0</v>
      </c>
      <c r="G19" s="182">
        <f t="shared" si="2"/>
        <v>1090000</v>
      </c>
      <c r="H19" s="430">
        <v>4589500</v>
      </c>
      <c r="I19" s="498"/>
      <c r="J19" s="494">
        <f t="shared" si="0"/>
        <v>4589500</v>
      </c>
      <c r="K19" s="430">
        <v>4588900</v>
      </c>
      <c r="L19" s="498"/>
      <c r="M19" s="494">
        <f t="shared" si="1"/>
        <v>4588900</v>
      </c>
      <c r="N19" s="7"/>
      <c r="O19" s="7"/>
    </row>
    <row r="20" spans="1:15" s="25" customFormat="1" ht="15.75" customHeight="1" x14ac:dyDescent="0.2">
      <c r="A20" s="674" t="s">
        <v>34</v>
      </c>
      <c r="B20" s="675"/>
      <c r="C20" s="676"/>
      <c r="D20" s="27">
        <f>SUM(D21:D24)</f>
        <v>0</v>
      </c>
      <c r="E20" s="379">
        <f>SUM(E21:E22)</f>
        <v>16641484</v>
      </c>
      <c r="F20" s="446">
        <f>SUM(F21:F24)</f>
        <v>978000</v>
      </c>
      <c r="G20" s="437">
        <f t="shared" si="2"/>
        <v>17619484</v>
      </c>
      <c r="H20" s="450">
        <f>SUM(H21:H22)</f>
        <v>39882294</v>
      </c>
      <c r="I20" s="499">
        <v>485000</v>
      </c>
      <c r="J20" s="454">
        <f t="shared" si="0"/>
        <v>40367294</v>
      </c>
      <c r="K20" s="450">
        <f>SUM(K21:K22)</f>
        <v>39473189</v>
      </c>
      <c r="L20" s="499">
        <v>457769</v>
      </c>
      <c r="M20" s="454">
        <f t="shared" si="1"/>
        <v>39930958</v>
      </c>
      <c r="N20" s="7"/>
      <c r="O20" s="7"/>
    </row>
    <row r="21" spans="1:15" ht="20.25" customHeight="1" x14ac:dyDescent="0.2">
      <c r="A21" s="28" t="s">
        <v>22</v>
      </c>
      <c r="B21" s="683" t="s">
        <v>194</v>
      </c>
      <c r="C21" s="683"/>
      <c r="D21" s="177"/>
      <c r="E21" s="172">
        <f>'4önk'!E21</f>
        <v>16641484</v>
      </c>
      <c r="F21" s="440">
        <f>'4ovi'!D20</f>
        <v>978000</v>
      </c>
      <c r="G21" s="439">
        <f t="shared" si="2"/>
        <v>17619484</v>
      </c>
      <c r="H21" s="172">
        <v>39132294</v>
      </c>
      <c r="I21" s="365">
        <v>485000</v>
      </c>
      <c r="J21" s="493">
        <f t="shared" si="0"/>
        <v>39617294</v>
      </c>
      <c r="K21" s="172">
        <v>38723189</v>
      </c>
      <c r="L21" s="365">
        <v>457769</v>
      </c>
      <c r="M21" s="493">
        <f t="shared" si="1"/>
        <v>39180958</v>
      </c>
      <c r="N21" s="5"/>
      <c r="O21" s="5"/>
    </row>
    <row r="22" spans="1:15" ht="24" customHeight="1" thickBot="1" x14ac:dyDescent="0.25">
      <c r="A22" s="444" t="s">
        <v>24</v>
      </c>
      <c r="B22" s="677" t="s">
        <v>441</v>
      </c>
      <c r="C22" s="678"/>
      <c r="D22" s="445"/>
      <c r="E22" s="174">
        <f>'4önk'!E22</f>
        <v>0</v>
      </c>
      <c r="F22" s="447">
        <f>'4ovi'!D21</f>
        <v>0</v>
      </c>
      <c r="G22" s="182">
        <f t="shared" si="2"/>
        <v>0</v>
      </c>
      <c r="H22" s="174">
        <v>750000</v>
      </c>
      <c r="I22" s="500"/>
      <c r="J22" s="495">
        <f t="shared" si="0"/>
        <v>750000</v>
      </c>
      <c r="K22" s="174">
        <v>750000</v>
      </c>
      <c r="L22" s="500"/>
      <c r="M22" s="495">
        <f t="shared" si="1"/>
        <v>750000</v>
      </c>
      <c r="N22" s="5"/>
      <c r="O22" s="5"/>
    </row>
    <row r="23" spans="1:15" ht="14.25" customHeight="1" x14ac:dyDescent="0.2">
      <c r="A23" s="686" t="s">
        <v>432</v>
      </c>
      <c r="B23" s="687"/>
      <c r="C23" s="688"/>
      <c r="D23" s="442"/>
      <c r="E23" s="175">
        <v>2432107</v>
      </c>
      <c r="F23" s="448"/>
      <c r="G23" s="437">
        <v>2432107</v>
      </c>
      <c r="H23" s="175">
        <f>H24</f>
        <v>2588931</v>
      </c>
      <c r="I23" s="36"/>
      <c r="J23" s="496">
        <v>2588931</v>
      </c>
      <c r="K23" s="175">
        <f>K24</f>
        <v>2588931</v>
      </c>
      <c r="L23" s="36"/>
      <c r="M23" s="36"/>
      <c r="N23" s="5"/>
      <c r="O23" s="5"/>
    </row>
    <row r="24" spans="1:15" ht="15.75" customHeight="1" thickBot="1" x14ac:dyDescent="0.25">
      <c r="A24" s="29" t="s">
        <v>22</v>
      </c>
      <c r="B24" s="700" t="s">
        <v>442</v>
      </c>
      <c r="C24" s="700"/>
      <c r="D24" s="186"/>
      <c r="E24" s="172">
        <f>'4önk'!E23</f>
        <v>2432107</v>
      </c>
      <c r="F24" s="435">
        <f>'4ovi'!D22</f>
        <v>0</v>
      </c>
      <c r="G24" s="449">
        <f t="shared" si="2"/>
        <v>2432107</v>
      </c>
      <c r="H24" s="179">
        <v>2588931</v>
      </c>
      <c r="I24" s="501"/>
      <c r="J24" s="494">
        <f t="shared" si="0"/>
        <v>2588931</v>
      </c>
      <c r="K24" s="179">
        <v>2588931</v>
      </c>
      <c r="L24" s="501"/>
      <c r="M24" s="494">
        <f t="shared" ref="M24:M29" si="3">SUM(K24:L24)</f>
        <v>2588931</v>
      </c>
      <c r="N24" s="5"/>
      <c r="O24" s="5"/>
    </row>
    <row r="25" spans="1:15" s="25" customFormat="1" ht="18" customHeight="1" x14ac:dyDescent="0.2">
      <c r="A25" s="674" t="s">
        <v>42</v>
      </c>
      <c r="B25" s="675"/>
      <c r="C25" s="676"/>
      <c r="D25" s="188">
        <f>D26+D27</f>
        <v>0</v>
      </c>
      <c r="E25" s="188">
        <f>E26+E27</f>
        <v>4415143</v>
      </c>
      <c r="F25" s="457">
        <f>F26+F27</f>
        <v>0</v>
      </c>
      <c r="G25" s="458">
        <f t="shared" si="2"/>
        <v>4415143</v>
      </c>
      <c r="H25" s="461">
        <v>3913086</v>
      </c>
      <c r="I25" s="499"/>
      <c r="J25" s="454">
        <f t="shared" si="0"/>
        <v>3913086</v>
      </c>
      <c r="K25" s="461">
        <v>0</v>
      </c>
      <c r="L25" s="499"/>
      <c r="M25" s="454">
        <f t="shared" si="3"/>
        <v>0</v>
      </c>
      <c r="N25" s="7"/>
      <c r="O25" s="7"/>
    </row>
    <row r="26" spans="1:15" s="25" customFormat="1" ht="18" customHeight="1" x14ac:dyDescent="0.2">
      <c r="A26" s="33" t="s">
        <v>22</v>
      </c>
      <c r="B26" s="692" t="s">
        <v>43</v>
      </c>
      <c r="C26" s="693"/>
      <c r="D26" s="27"/>
      <c r="E26" s="172">
        <f>'4önk'!E26</f>
        <v>0</v>
      </c>
      <c r="F26" s="440">
        <f>'4ovi'!D31</f>
        <v>0</v>
      </c>
      <c r="G26" s="439">
        <f t="shared" si="2"/>
        <v>0</v>
      </c>
      <c r="H26" s="459">
        <v>0</v>
      </c>
      <c r="I26" s="497"/>
      <c r="J26" s="493">
        <f t="shared" si="0"/>
        <v>0</v>
      </c>
      <c r="K26" s="459">
        <v>0</v>
      </c>
      <c r="L26" s="497"/>
      <c r="M26" s="493">
        <f t="shared" si="3"/>
        <v>0</v>
      </c>
    </row>
    <row r="27" spans="1:15" s="25" customFormat="1" ht="18" customHeight="1" x14ac:dyDescent="0.2">
      <c r="A27" s="694" t="s">
        <v>24</v>
      </c>
      <c r="B27" s="692" t="s">
        <v>44</v>
      </c>
      <c r="C27" s="693"/>
      <c r="D27" s="175">
        <f>SUM(D28:D29)</f>
        <v>0</v>
      </c>
      <c r="E27" s="175">
        <f>SUM(E28:E29)</f>
        <v>4415143</v>
      </c>
      <c r="F27" s="173">
        <f>SUM(F28:F29)</f>
        <v>0</v>
      </c>
      <c r="G27" s="439">
        <f t="shared" si="2"/>
        <v>4415143</v>
      </c>
      <c r="H27" s="462">
        <v>3913086</v>
      </c>
      <c r="I27" s="497"/>
      <c r="J27" s="493">
        <f t="shared" si="0"/>
        <v>3913086</v>
      </c>
      <c r="K27" s="462">
        <v>0</v>
      </c>
      <c r="L27" s="497"/>
      <c r="M27" s="493">
        <f t="shared" si="3"/>
        <v>0</v>
      </c>
    </row>
    <row r="28" spans="1:15" ht="18" customHeight="1" x14ac:dyDescent="0.2">
      <c r="A28" s="695"/>
      <c r="B28" s="34" t="s">
        <v>22</v>
      </c>
      <c r="C28" s="35" t="s">
        <v>45</v>
      </c>
      <c r="D28" s="189"/>
      <c r="E28" s="172">
        <f>'4önk'!E28</f>
        <v>4415143</v>
      </c>
      <c r="F28" s="440">
        <f>'4ovi'!D33</f>
        <v>0</v>
      </c>
      <c r="G28" s="439">
        <f t="shared" si="2"/>
        <v>4415143</v>
      </c>
      <c r="H28" s="459">
        <v>3913086</v>
      </c>
      <c r="I28" s="365"/>
      <c r="J28" s="493">
        <f t="shared" si="0"/>
        <v>3913086</v>
      </c>
      <c r="K28" s="459">
        <v>0</v>
      </c>
      <c r="L28" s="365"/>
      <c r="M28" s="493">
        <f t="shared" si="3"/>
        <v>0</v>
      </c>
    </row>
    <row r="29" spans="1:15" s="25" customFormat="1" ht="18" customHeight="1" thickBot="1" x14ac:dyDescent="0.25">
      <c r="A29" s="696"/>
      <c r="B29" s="37" t="s">
        <v>24</v>
      </c>
      <c r="C29" s="38" t="s">
        <v>46</v>
      </c>
      <c r="D29" s="190"/>
      <c r="E29" s="172">
        <f>'4önk'!E29</f>
        <v>0</v>
      </c>
      <c r="F29" s="443">
        <f>'4ovi'!D34</f>
        <v>0</v>
      </c>
      <c r="G29" s="182">
        <f t="shared" si="2"/>
        <v>0</v>
      </c>
      <c r="H29" s="460">
        <v>0</v>
      </c>
      <c r="I29" s="502"/>
      <c r="J29" s="495">
        <f t="shared" si="0"/>
        <v>0</v>
      </c>
      <c r="K29" s="460">
        <v>0</v>
      </c>
      <c r="L29" s="502"/>
      <c r="M29" s="495">
        <f t="shared" si="3"/>
        <v>0</v>
      </c>
    </row>
    <row r="30" spans="1:15" s="25" customFormat="1" ht="18" customHeight="1" thickBot="1" x14ac:dyDescent="0.25">
      <c r="A30" s="39"/>
      <c r="B30" s="697" t="s">
        <v>47</v>
      </c>
      <c r="C30" s="697"/>
      <c r="D30" s="191">
        <f>SUM(D10,D20,D25)</f>
        <v>0</v>
      </c>
      <c r="E30" s="195">
        <f>SUM(E10,E20,E23,E25)</f>
        <v>74496500</v>
      </c>
      <c r="F30" s="195">
        <f t="shared" ref="F30:M30" si="4">SUM(F10,F20,F23,F25)</f>
        <v>50436648</v>
      </c>
      <c r="G30" s="195">
        <f t="shared" si="4"/>
        <v>124933148</v>
      </c>
      <c r="H30" s="195">
        <f t="shared" si="4"/>
        <v>107205186</v>
      </c>
      <c r="I30" s="195">
        <f t="shared" si="4"/>
        <v>48066013</v>
      </c>
      <c r="J30" s="195">
        <f t="shared" si="4"/>
        <v>155271199</v>
      </c>
      <c r="K30" s="195">
        <f t="shared" si="4"/>
        <v>101008911</v>
      </c>
      <c r="L30" s="195">
        <f t="shared" si="4"/>
        <v>47367241</v>
      </c>
      <c r="M30" s="195">
        <f t="shared" si="4"/>
        <v>145787221</v>
      </c>
    </row>
    <row r="31" spans="1:15" s="25" customFormat="1" ht="18" customHeight="1" x14ac:dyDescent="0.2">
      <c r="A31" s="33">
        <v>1</v>
      </c>
      <c r="B31" s="714" t="s">
        <v>48</v>
      </c>
      <c r="C31" s="714"/>
      <c r="D31" s="504">
        <f t="shared" ref="D31:E31" si="5">SUM(D32:D33)</f>
        <v>0</v>
      </c>
      <c r="E31" s="504">
        <f t="shared" si="5"/>
        <v>0</v>
      </c>
      <c r="F31" s="504">
        <f>SUM(F32:F33)</f>
        <v>0</v>
      </c>
      <c r="G31" s="437">
        <f t="shared" si="2"/>
        <v>0</v>
      </c>
      <c r="H31" s="172">
        <v>0</v>
      </c>
      <c r="I31" s="497"/>
      <c r="J31" s="454">
        <f t="shared" si="0"/>
        <v>0</v>
      </c>
      <c r="K31" s="172">
        <v>0</v>
      </c>
      <c r="L31" s="497"/>
      <c r="M31" s="454">
        <f t="shared" ref="M31:M39" si="6">SUM(K31:L31)</f>
        <v>0</v>
      </c>
    </row>
    <row r="32" spans="1:15" s="25" customFormat="1" ht="18" customHeight="1" x14ac:dyDescent="0.2">
      <c r="A32" s="684"/>
      <c r="B32" s="23" t="s">
        <v>22</v>
      </c>
      <c r="C32" s="40" t="s">
        <v>49</v>
      </c>
      <c r="D32" s="177"/>
      <c r="E32" s="172">
        <f>'4önk'!E32</f>
        <v>0</v>
      </c>
      <c r="F32" s="440">
        <f>'4ovi'!D37</f>
        <v>0</v>
      </c>
      <c r="G32" s="439">
        <f t="shared" si="2"/>
        <v>0</v>
      </c>
      <c r="H32" s="172">
        <v>0</v>
      </c>
      <c r="I32" s="497"/>
      <c r="J32" s="493">
        <f t="shared" si="0"/>
        <v>0</v>
      </c>
      <c r="K32" s="172">
        <v>0</v>
      </c>
      <c r="L32" s="497"/>
      <c r="M32" s="493">
        <f t="shared" si="6"/>
        <v>0</v>
      </c>
    </row>
    <row r="33" spans="1:13" s="25" customFormat="1" ht="18" customHeight="1" x14ac:dyDescent="0.2">
      <c r="A33" s="685"/>
      <c r="B33" s="23" t="s">
        <v>24</v>
      </c>
      <c r="C33" s="40" t="s">
        <v>50</v>
      </c>
      <c r="D33" s="177"/>
      <c r="E33" s="172">
        <f>'4önk'!E33</f>
        <v>0</v>
      </c>
      <c r="F33" s="440">
        <f>'4ovi'!D38</f>
        <v>0</v>
      </c>
      <c r="G33" s="439">
        <f t="shared" si="2"/>
        <v>0</v>
      </c>
      <c r="H33" s="172">
        <v>0</v>
      </c>
      <c r="I33" s="497"/>
      <c r="J33" s="493">
        <f t="shared" si="0"/>
        <v>0</v>
      </c>
      <c r="K33" s="172">
        <v>0</v>
      </c>
      <c r="L33" s="497"/>
      <c r="M33" s="493">
        <f t="shared" si="6"/>
        <v>0</v>
      </c>
    </row>
    <row r="34" spans="1:13" s="25" customFormat="1" ht="18" customHeight="1" x14ac:dyDescent="0.2">
      <c r="A34" s="41" t="s">
        <v>24</v>
      </c>
      <c r="B34" s="672" t="s">
        <v>51</v>
      </c>
      <c r="C34" s="672"/>
      <c r="D34" s="378">
        <f t="shared" ref="D34:E34" si="7">SUM(D35:D37)</f>
        <v>0</v>
      </c>
      <c r="E34" s="378">
        <f t="shared" si="7"/>
        <v>0</v>
      </c>
      <c r="F34" s="378">
        <f>SUM(F35:F37)</f>
        <v>0</v>
      </c>
      <c r="G34" s="439">
        <f t="shared" si="2"/>
        <v>0</v>
      </c>
      <c r="H34" s="172">
        <v>0</v>
      </c>
      <c r="I34" s="497"/>
      <c r="J34" s="493">
        <f t="shared" si="0"/>
        <v>0</v>
      </c>
      <c r="K34" s="172">
        <v>0</v>
      </c>
      <c r="L34" s="497"/>
      <c r="M34" s="493">
        <f t="shared" si="6"/>
        <v>0</v>
      </c>
    </row>
    <row r="35" spans="1:13" s="25" customFormat="1" ht="18" customHeight="1" x14ac:dyDescent="0.2">
      <c r="A35" s="684"/>
      <c r="B35" s="23" t="s">
        <v>22</v>
      </c>
      <c r="C35" s="24" t="s">
        <v>52</v>
      </c>
      <c r="D35" s="177"/>
      <c r="E35" s="172">
        <f>'4önk'!E35</f>
        <v>0</v>
      </c>
      <c r="F35" s="440">
        <f>'4ovi'!D40</f>
        <v>0</v>
      </c>
      <c r="G35" s="439">
        <f t="shared" si="2"/>
        <v>0</v>
      </c>
      <c r="H35" s="172">
        <v>0</v>
      </c>
      <c r="I35" s="497"/>
      <c r="J35" s="493">
        <f t="shared" si="0"/>
        <v>0</v>
      </c>
      <c r="K35" s="172">
        <v>0</v>
      </c>
      <c r="L35" s="497"/>
      <c r="M35" s="493">
        <f t="shared" si="6"/>
        <v>0</v>
      </c>
    </row>
    <row r="36" spans="1:13" s="25" customFormat="1" ht="18" customHeight="1" x14ac:dyDescent="0.2">
      <c r="A36" s="685"/>
      <c r="B36" s="23" t="s">
        <v>24</v>
      </c>
      <c r="C36" s="24" t="s">
        <v>53</v>
      </c>
      <c r="D36" s="177"/>
      <c r="E36" s="172">
        <f>'4önk'!E36</f>
        <v>0</v>
      </c>
      <c r="F36" s="440">
        <f>'4ovi'!D41</f>
        <v>0</v>
      </c>
      <c r="G36" s="439">
        <f t="shared" si="2"/>
        <v>0</v>
      </c>
      <c r="H36" s="172">
        <v>0</v>
      </c>
      <c r="I36" s="497"/>
      <c r="J36" s="493">
        <f t="shared" si="0"/>
        <v>0</v>
      </c>
      <c r="K36" s="172">
        <v>0</v>
      </c>
      <c r="L36" s="497"/>
      <c r="M36" s="493">
        <f t="shared" si="6"/>
        <v>0</v>
      </c>
    </row>
    <row r="37" spans="1:13" s="25" customFormat="1" ht="18" customHeight="1" thickBot="1" x14ac:dyDescent="0.25">
      <c r="A37" s="42"/>
      <c r="B37" s="43" t="s">
        <v>26</v>
      </c>
      <c r="C37" s="44" t="s">
        <v>54</v>
      </c>
      <c r="D37" s="455"/>
      <c r="E37" s="174">
        <f>'4önk'!E37</f>
        <v>0</v>
      </c>
      <c r="F37" s="435">
        <f>'4ovi'!D42</f>
        <v>0</v>
      </c>
      <c r="G37" s="449">
        <f t="shared" si="2"/>
        <v>0</v>
      </c>
      <c r="H37" s="179">
        <v>0</v>
      </c>
      <c r="I37" s="498"/>
      <c r="J37" s="495">
        <f t="shared" si="0"/>
        <v>0</v>
      </c>
      <c r="K37" s="179">
        <v>0</v>
      </c>
      <c r="L37" s="498"/>
      <c r="M37" s="495">
        <f t="shared" si="6"/>
        <v>0</v>
      </c>
    </row>
    <row r="38" spans="1:13" s="25" customFormat="1" ht="18" customHeight="1" thickBot="1" x14ac:dyDescent="0.25">
      <c r="A38" s="39"/>
      <c r="B38" s="712" t="s">
        <v>55</v>
      </c>
      <c r="C38" s="713"/>
      <c r="D38" s="356">
        <f>D34+D31</f>
        <v>0</v>
      </c>
      <c r="E38" s="356">
        <f t="shared" ref="E38:F38" si="8">E34+E31</f>
        <v>0</v>
      </c>
      <c r="F38" s="356">
        <f t="shared" si="8"/>
        <v>0</v>
      </c>
      <c r="G38" s="182">
        <f t="shared" si="2"/>
        <v>0</v>
      </c>
      <c r="H38" s="505">
        <v>0</v>
      </c>
      <c r="I38" s="506"/>
      <c r="J38" s="507">
        <f t="shared" si="0"/>
        <v>0</v>
      </c>
      <c r="K38" s="505">
        <v>0</v>
      </c>
      <c r="L38" s="506"/>
      <c r="M38" s="507">
        <f t="shared" si="6"/>
        <v>0</v>
      </c>
    </row>
    <row r="39" spans="1:13" s="25" customFormat="1" ht="21" customHeight="1" thickBot="1" x14ac:dyDescent="0.25">
      <c r="A39" s="45"/>
      <c r="B39" s="710" t="s">
        <v>56</v>
      </c>
      <c r="C39" s="710"/>
      <c r="D39" s="180">
        <f>D38+D30</f>
        <v>0</v>
      </c>
      <c r="E39" s="380">
        <f>E38+E30</f>
        <v>74496500</v>
      </c>
      <c r="F39" s="180">
        <f>F38+F30</f>
        <v>50436648</v>
      </c>
      <c r="G39" s="511">
        <f t="shared" si="2"/>
        <v>124933148</v>
      </c>
      <c r="H39" s="512">
        <v>0</v>
      </c>
      <c r="I39" s="513"/>
      <c r="J39" s="514">
        <f t="shared" si="0"/>
        <v>0</v>
      </c>
      <c r="K39" s="512">
        <v>0</v>
      </c>
      <c r="L39" s="513"/>
      <c r="M39" s="514">
        <f t="shared" si="6"/>
        <v>0</v>
      </c>
    </row>
    <row r="40" spans="1:13" ht="15.75" customHeight="1" thickBot="1" x14ac:dyDescent="0.25">
      <c r="A40" s="136"/>
      <c r="B40" s="8"/>
      <c r="C40" s="5"/>
      <c r="D40" s="196"/>
      <c r="E40" s="197"/>
      <c r="F40" s="133"/>
      <c r="G40" s="182"/>
      <c r="H40" s="508"/>
      <c r="I40" s="509"/>
      <c r="J40" s="510"/>
      <c r="K40" s="508"/>
      <c r="L40" s="509"/>
      <c r="M40" s="510"/>
    </row>
    <row r="41" spans="1:13" ht="15.75" customHeight="1" thickBot="1" x14ac:dyDescent="0.25">
      <c r="A41" s="46" t="s">
        <v>22</v>
      </c>
      <c r="B41" s="715" t="s">
        <v>57</v>
      </c>
      <c r="C41" s="715"/>
      <c r="D41" s="187">
        <f>D10+D28+D32+D35</f>
        <v>0</v>
      </c>
      <c r="E41" s="355">
        <f>E10+E28+E32+E35+E23</f>
        <v>57855016</v>
      </c>
      <c r="F41" s="187">
        <f>F10+F28+F32+F35</f>
        <v>49458648</v>
      </c>
      <c r="G41" s="182">
        <f t="shared" si="2"/>
        <v>107313664</v>
      </c>
      <c r="H41" s="355">
        <f>H10+H28+H32+H35+H23</f>
        <v>67322892</v>
      </c>
      <c r="I41" s="187">
        <f>I10+I28+I32+I35</f>
        <v>47581013</v>
      </c>
      <c r="J41" s="515">
        <f>SUM(H41:I41)</f>
        <v>114903905</v>
      </c>
      <c r="K41" s="355">
        <f>K10+K28+K32+K35+K23</f>
        <v>61535722</v>
      </c>
      <c r="L41" s="187">
        <f>L10+L28+L32+L35</f>
        <v>46909472</v>
      </c>
      <c r="M41" s="515">
        <f>SUM(K41:L41)</f>
        <v>108445194</v>
      </c>
    </row>
    <row r="42" spans="1:13" ht="15.75" customHeight="1" thickBot="1" x14ac:dyDescent="0.25">
      <c r="A42" s="47" t="s">
        <v>24</v>
      </c>
      <c r="B42" s="700" t="s">
        <v>58</v>
      </c>
      <c r="C42" s="700"/>
      <c r="D42" s="186">
        <f>D20+D29+D33+D36+D37</f>
        <v>0</v>
      </c>
      <c r="E42" s="179">
        <f>E20+E29+E33+E36+E37</f>
        <v>16641484</v>
      </c>
      <c r="F42" s="179">
        <f>F20+F29+F33+F36+F37</f>
        <v>978000</v>
      </c>
      <c r="G42" s="182">
        <f>SUM(D42:F42)</f>
        <v>17619484</v>
      </c>
      <c r="H42" s="179">
        <f>H20+H29+H33+H36+H37</f>
        <v>39882294</v>
      </c>
      <c r="I42" s="179">
        <f>I20+I29+I33+I36+I37</f>
        <v>485000</v>
      </c>
      <c r="J42" s="515">
        <f>SUM(H42:I42)</f>
        <v>40367294</v>
      </c>
      <c r="K42" s="179">
        <f>K20+K29+K33+K36+K37</f>
        <v>39473189</v>
      </c>
      <c r="L42" s="179">
        <f>L20+L29+L33+L36+L37</f>
        <v>457769</v>
      </c>
      <c r="M42" s="515">
        <f>SUM(K42:L42)</f>
        <v>39930958</v>
      </c>
    </row>
    <row r="43" spans="1:13" ht="21" customHeight="1" thickBot="1" x14ac:dyDescent="0.25">
      <c r="A43" s="48"/>
      <c r="B43" s="710" t="s">
        <v>56</v>
      </c>
      <c r="C43" s="711"/>
      <c r="D43" s="198">
        <f>D41+D42</f>
        <v>0</v>
      </c>
      <c r="E43" s="589">
        <f>E41+E42</f>
        <v>74496500</v>
      </c>
      <c r="F43" s="198">
        <f>F41+F42</f>
        <v>50436648</v>
      </c>
      <c r="G43" s="511">
        <f t="shared" si="2"/>
        <v>124933148</v>
      </c>
      <c r="H43" s="198">
        <f>H41+H42</f>
        <v>107205186</v>
      </c>
      <c r="I43" s="198">
        <f t="shared" ref="I43:J43" si="9">I41+I42</f>
        <v>48066013</v>
      </c>
      <c r="J43" s="198">
        <f t="shared" si="9"/>
        <v>155271199</v>
      </c>
      <c r="K43" s="198">
        <f>K41+K42</f>
        <v>101008911</v>
      </c>
      <c r="L43" s="198">
        <f t="shared" ref="L43:M43" si="10">L41+L42</f>
        <v>47367241</v>
      </c>
      <c r="M43" s="198">
        <f t="shared" si="10"/>
        <v>148376152</v>
      </c>
    </row>
  </sheetData>
  <mergeCells count="37">
    <mergeCell ref="B43:C43"/>
    <mergeCell ref="B39:C39"/>
    <mergeCell ref="B34:C34"/>
    <mergeCell ref="B38:C38"/>
    <mergeCell ref="B31:C31"/>
    <mergeCell ref="B41:C41"/>
    <mergeCell ref="B42:C42"/>
    <mergeCell ref="A35:A36"/>
    <mergeCell ref="A23:C23"/>
    <mergeCell ref="A32:A33"/>
    <mergeCell ref="A10:C10"/>
    <mergeCell ref="A1:M1"/>
    <mergeCell ref="A3:M3"/>
    <mergeCell ref="A4:M4"/>
    <mergeCell ref="A25:C25"/>
    <mergeCell ref="B26:C26"/>
    <mergeCell ref="B27:C27"/>
    <mergeCell ref="A27:A29"/>
    <mergeCell ref="B30:C30"/>
    <mergeCell ref="E9:F9"/>
    <mergeCell ref="B24:C24"/>
    <mergeCell ref="A7:C9"/>
    <mergeCell ref="D7:G7"/>
    <mergeCell ref="B18:C18"/>
    <mergeCell ref="B19:C19"/>
    <mergeCell ref="A20:C20"/>
    <mergeCell ref="B22:C22"/>
    <mergeCell ref="G8:G9"/>
    <mergeCell ref="A11:A16"/>
    <mergeCell ref="B11:C11"/>
    <mergeCell ref="B21:C21"/>
    <mergeCell ref="K7:M7"/>
    <mergeCell ref="M8:M9"/>
    <mergeCell ref="K9:L9"/>
    <mergeCell ref="J8:J9"/>
    <mergeCell ref="H7:J7"/>
    <mergeCell ref="H9:I9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60" firstPageNumber="40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5" tint="0.39997558519241921"/>
  </sheetPr>
  <dimension ref="A1:AB43"/>
  <sheetViews>
    <sheetView view="pageBreakPreview" zoomScaleNormal="100" zoomScaleSheetLayoutView="100" workbookViewId="0">
      <pane xSplit="3" ySplit="9" topLeftCell="D35" activePane="bottomRight" state="frozen"/>
      <selection pane="topRight" activeCell="D1" sqref="D1"/>
      <selection pane="bottomLeft" activeCell="A9" sqref="A9"/>
      <selection pane="bottomRight" sqref="A1:H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5" width="11" style="6" customWidth="1"/>
    <col min="6" max="6" width="11.5703125" style="6" customWidth="1"/>
    <col min="7" max="8" width="12.5703125" style="2" customWidth="1"/>
    <col min="9" max="9" width="12" style="2" customWidth="1"/>
    <col min="10" max="16384" width="9.140625" style="2"/>
  </cols>
  <sheetData>
    <row r="1" spans="1:28" ht="31.5" customHeight="1" x14ac:dyDescent="0.2">
      <c r="A1" s="691" t="s">
        <v>676</v>
      </c>
      <c r="B1" s="691"/>
      <c r="C1" s="691"/>
      <c r="D1" s="691"/>
      <c r="E1" s="691"/>
      <c r="F1" s="691"/>
      <c r="G1" s="691"/>
      <c r="H1" s="691"/>
    </row>
    <row r="2" spans="1:28" ht="15" customHeight="1" x14ac:dyDescent="0.2">
      <c r="A2" s="400"/>
      <c r="B2" s="400"/>
      <c r="C2" s="400"/>
      <c r="D2" s="400"/>
      <c r="E2" s="400"/>
      <c r="H2" s="400" t="s">
        <v>413</v>
      </c>
    </row>
    <row r="3" spans="1:28" ht="15.75" customHeight="1" x14ac:dyDescent="0.2">
      <c r="A3" s="635" t="s">
        <v>192</v>
      </c>
      <c r="B3" s="635"/>
      <c r="C3" s="635"/>
      <c r="D3" s="635"/>
      <c r="E3" s="635"/>
      <c r="F3" s="635"/>
      <c r="G3" s="635"/>
      <c r="H3" s="635"/>
    </row>
    <row r="4" spans="1:28" ht="15.75" customHeight="1" x14ac:dyDescent="0.2">
      <c r="A4" s="10"/>
      <c r="B4" s="10"/>
      <c r="C4" s="10"/>
      <c r="D4" s="10"/>
      <c r="E4" s="15"/>
    </row>
    <row r="5" spans="1:28" ht="15.75" customHeight="1" x14ac:dyDescent="0.2">
      <c r="A5" s="635" t="s">
        <v>15</v>
      </c>
      <c r="B5" s="635"/>
      <c r="C5" s="635"/>
      <c r="D5" s="635"/>
      <c r="E5" s="635"/>
      <c r="F5" s="635"/>
      <c r="G5" s="635"/>
      <c r="H5" s="635"/>
    </row>
    <row r="6" spans="1:28" ht="9" customHeight="1" thickBot="1" x14ac:dyDescent="0.25">
      <c r="E6" s="17"/>
    </row>
    <row r="7" spans="1:28" ht="31.5" customHeight="1" x14ac:dyDescent="0.2">
      <c r="A7" s="701" t="s">
        <v>16</v>
      </c>
      <c r="B7" s="702"/>
      <c r="C7" s="725"/>
      <c r="D7" s="720" t="s">
        <v>64</v>
      </c>
      <c r="E7" s="708"/>
      <c r="F7" s="709"/>
      <c r="G7" s="427" t="s">
        <v>431</v>
      </c>
      <c r="H7" s="427" t="s">
        <v>255</v>
      </c>
    </row>
    <row r="8" spans="1:28" ht="21" customHeight="1" x14ac:dyDescent="0.2">
      <c r="A8" s="703"/>
      <c r="B8" s="704"/>
      <c r="C8" s="726"/>
      <c r="D8" s="18" t="s">
        <v>17</v>
      </c>
      <c r="E8" s="19" t="s">
        <v>17</v>
      </c>
      <c r="F8" s="723" t="s">
        <v>18</v>
      </c>
      <c r="G8" s="721" t="s">
        <v>135</v>
      </c>
      <c r="H8" s="721" t="s">
        <v>135</v>
      </c>
    </row>
    <row r="9" spans="1:28" ht="30" customHeight="1" thickBot="1" x14ac:dyDescent="0.25">
      <c r="A9" s="705"/>
      <c r="B9" s="706"/>
      <c r="C9" s="727"/>
      <c r="D9" s="20" t="s">
        <v>19</v>
      </c>
      <c r="E9" s="21" t="s">
        <v>20</v>
      </c>
      <c r="F9" s="724"/>
      <c r="G9" s="722"/>
      <c r="H9" s="722"/>
      <c r="I9" s="211" t="s">
        <v>365</v>
      </c>
      <c r="J9" s="211" t="s">
        <v>366</v>
      </c>
      <c r="K9" s="211" t="s">
        <v>367</v>
      </c>
      <c r="L9" s="211" t="s">
        <v>368</v>
      </c>
      <c r="M9" s="211" t="s">
        <v>369</v>
      </c>
      <c r="N9" s="211" t="s">
        <v>370</v>
      </c>
      <c r="O9" s="211" t="s">
        <v>371</v>
      </c>
      <c r="P9" s="211" t="s">
        <v>372</v>
      </c>
      <c r="Q9" s="211" t="s">
        <v>373</v>
      </c>
      <c r="R9" s="211" t="s">
        <v>374</v>
      </c>
      <c r="S9" s="211" t="s">
        <v>375</v>
      </c>
      <c r="T9" s="211" t="s">
        <v>376</v>
      </c>
      <c r="U9" s="211" t="s">
        <v>377</v>
      </c>
      <c r="V9" s="211" t="s">
        <v>378</v>
      </c>
      <c r="W9" s="211" t="s">
        <v>379</v>
      </c>
      <c r="X9" s="211" t="s">
        <v>400</v>
      </c>
      <c r="Y9" s="211" t="s">
        <v>380</v>
      </c>
    </row>
    <row r="10" spans="1:28" ht="15.75" customHeight="1" thickBot="1" x14ac:dyDescent="0.25">
      <c r="A10" s="689" t="s">
        <v>21</v>
      </c>
      <c r="B10" s="690"/>
      <c r="C10" s="690"/>
      <c r="D10" s="181">
        <f>D11+D18+D19</f>
        <v>0</v>
      </c>
      <c r="E10" s="377">
        <f>E11+E18+E19</f>
        <v>51007766</v>
      </c>
      <c r="F10" s="49">
        <f t="shared" ref="F10:F42" si="0">SUM(D10:E10)</f>
        <v>51007766</v>
      </c>
      <c r="G10" s="133">
        <f>G11+G18+G19</f>
        <v>60820875</v>
      </c>
      <c r="H10" s="573">
        <f>H11+H18+H19</f>
        <v>58946791</v>
      </c>
    </row>
    <row r="11" spans="1:28" ht="15.75" customHeight="1" thickBot="1" x14ac:dyDescent="0.25">
      <c r="A11" s="681" t="s">
        <v>22</v>
      </c>
      <c r="B11" s="682" t="s">
        <v>21</v>
      </c>
      <c r="C11" s="682"/>
      <c r="D11" s="183">
        <f>SUM(D12:D16)</f>
        <v>0</v>
      </c>
      <c r="E11" s="378">
        <f>SUM(E12:E16)</f>
        <v>47707866</v>
      </c>
      <c r="F11" s="49">
        <f t="shared" si="0"/>
        <v>47707866</v>
      </c>
      <c r="G11" s="566">
        <f>SUM(G12:G17)</f>
        <v>52961475</v>
      </c>
      <c r="H11" s="574">
        <f>SUM(H12:H17)</f>
        <v>51088938</v>
      </c>
      <c r="Z11" s="211"/>
      <c r="AA11" s="211"/>
      <c r="AB11" s="211"/>
    </row>
    <row r="12" spans="1:28" ht="15.75" customHeight="1" thickBot="1" x14ac:dyDescent="0.25">
      <c r="A12" s="681"/>
      <c r="B12" s="23" t="s">
        <v>22</v>
      </c>
      <c r="C12" s="24" t="s">
        <v>23</v>
      </c>
      <c r="D12" s="177"/>
      <c r="E12" s="172">
        <f>SUM(I12:Y12)</f>
        <v>10695490</v>
      </c>
      <c r="F12" s="49">
        <f t="shared" si="0"/>
        <v>10695490</v>
      </c>
      <c r="G12" s="463">
        <v>14415388</v>
      </c>
      <c r="H12" s="575">
        <v>14344387</v>
      </c>
      <c r="I12" s="2">
        <v>500000</v>
      </c>
      <c r="L12" s="2">
        <v>8328000</v>
      </c>
      <c r="O12" s="2">
        <v>1622900</v>
      </c>
      <c r="Y12" s="2">
        <v>244590</v>
      </c>
    </row>
    <row r="13" spans="1:28" ht="15.75" customHeight="1" thickBot="1" x14ac:dyDescent="0.25">
      <c r="A13" s="681"/>
      <c r="B13" s="23" t="s">
        <v>24</v>
      </c>
      <c r="C13" s="24" t="s">
        <v>25</v>
      </c>
      <c r="D13" s="177"/>
      <c r="E13" s="172">
        <f t="shared" ref="E13:E22" si="1">SUM(I13:Y13)</f>
        <v>2116696</v>
      </c>
      <c r="F13" s="49">
        <f t="shared" si="0"/>
        <v>2116696</v>
      </c>
      <c r="G13" s="463">
        <v>2444196</v>
      </c>
      <c r="H13" s="575">
        <v>2443597</v>
      </c>
      <c r="I13" s="2">
        <v>97500</v>
      </c>
      <c r="L13" s="2">
        <v>1669710</v>
      </c>
      <c r="O13" s="2">
        <v>316466</v>
      </c>
      <c r="Y13" s="2">
        <v>33020</v>
      </c>
    </row>
    <row r="14" spans="1:28" ht="15.75" customHeight="1" thickBot="1" x14ac:dyDescent="0.25">
      <c r="A14" s="681"/>
      <c r="B14" s="23" t="s">
        <v>26</v>
      </c>
      <c r="C14" s="24" t="s">
        <v>27</v>
      </c>
      <c r="D14" s="177"/>
      <c r="E14" s="172">
        <f t="shared" si="1"/>
        <v>29855680</v>
      </c>
      <c r="F14" s="49">
        <f t="shared" si="0"/>
        <v>29855680</v>
      </c>
      <c r="G14" s="463">
        <v>29195491</v>
      </c>
      <c r="H14" s="575">
        <v>27398716</v>
      </c>
      <c r="I14" s="2">
        <v>9605000</v>
      </c>
      <c r="J14" s="2">
        <v>254000</v>
      </c>
      <c r="K14" s="2">
        <v>3037260</v>
      </c>
      <c r="L14" s="2">
        <v>1727000</v>
      </c>
      <c r="M14" s="2">
        <v>4000000</v>
      </c>
      <c r="N14" s="2">
        <v>533400</v>
      </c>
      <c r="O14" s="2">
        <v>1930000</v>
      </c>
      <c r="U14" s="2">
        <v>275000</v>
      </c>
      <c r="V14" s="2">
        <v>320000</v>
      </c>
      <c r="W14" s="2">
        <v>6256000</v>
      </c>
      <c r="X14" s="2">
        <v>1918020</v>
      </c>
    </row>
    <row r="15" spans="1:28" ht="15.75" customHeight="1" thickBot="1" x14ac:dyDescent="0.25">
      <c r="A15" s="681"/>
      <c r="B15" s="23" t="s">
        <v>28</v>
      </c>
      <c r="C15" s="24" t="s">
        <v>29</v>
      </c>
      <c r="D15" s="177"/>
      <c r="E15" s="172">
        <f t="shared" si="1"/>
        <v>0</v>
      </c>
      <c r="F15" s="49">
        <f t="shared" si="0"/>
        <v>0</v>
      </c>
      <c r="G15" s="463">
        <v>0</v>
      </c>
      <c r="H15" s="575">
        <v>0</v>
      </c>
    </row>
    <row r="16" spans="1:28" ht="15.75" customHeight="1" thickBot="1" x14ac:dyDescent="0.25">
      <c r="A16" s="681"/>
      <c r="B16" s="23" t="s">
        <v>30</v>
      </c>
      <c r="C16" s="24" t="s">
        <v>31</v>
      </c>
      <c r="D16" s="177"/>
      <c r="E16" s="172">
        <v>5040000</v>
      </c>
      <c r="F16" s="49">
        <f t="shared" si="0"/>
        <v>5040000</v>
      </c>
      <c r="G16" s="463">
        <v>4090000</v>
      </c>
      <c r="H16" s="575">
        <v>4086589</v>
      </c>
      <c r="P16" s="2">
        <v>2220000</v>
      </c>
      <c r="Q16" s="2">
        <v>250000</v>
      </c>
      <c r="R16" s="2">
        <v>2220000</v>
      </c>
      <c r="S16" s="2">
        <v>50000</v>
      </c>
      <c r="U16" s="2">
        <v>550000</v>
      </c>
    </row>
    <row r="17" spans="1:14" ht="15.75" customHeight="1" thickBot="1" x14ac:dyDescent="0.25">
      <c r="A17" s="403"/>
      <c r="B17" s="23" t="s">
        <v>91</v>
      </c>
      <c r="C17" s="404" t="s">
        <v>440</v>
      </c>
      <c r="D17" s="177"/>
      <c r="E17" s="172">
        <v>0</v>
      </c>
      <c r="F17" s="49">
        <v>0</v>
      </c>
      <c r="G17" s="463">
        <v>2816400</v>
      </c>
      <c r="H17" s="575">
        <v>2815649</v>
      </c>
    </row>
    <row r="18" spans="1:14" s="25" customFormat="1" ht="15.75" customHeight="1" thickBot="1" x14ac:dyDescent="0.25">
      <c r="A18" s="22" t="s">
        <v>24</v>
      </c>
      <c r="B18" s="672" t="s">
        <v>398</v>
      </c>
      <c r="C18" s="672"/>
      <c r="D18" s="176"/>
      <c r="E18" s="172">
        <v>2209900</v>
      </c>
      <c r="F18" s="49">
        <f t="shared" si="0"/>
        <v>2209900</v>
      </c>
      <c r="G18" s="463">
        <v>3269900</v>
      </c>
      <c r="H18" s="575">
        <v>3268953</v>
      </c>
      <c r="I18" s="25">
        <v>2209900</v>
      </c>
      <c r="N18" s="25">
        <v>650000</v>
      </c>
    </row>
    <row r="19" spans="1:14" s="25" customFormat="1" ht="15.75" customHeight="1" thickBot="1" x14ac:dyDescent="0.25">
      <c r="A19" s="26" t="s">
        <v>26</v>
      </c>
      <c r="B19" s="673" t="s">
        <v>399</v>
      </c>
      <c r="C19" s="673"/>
      <c r="D19" s="184"/>
      <c r="E19" s="174">
        <v>1090000</v>
      </c>
      <c r="F19" s="49">
        <f t="shared" si="0"/>
        <v>1090000</v>
      </c>
      <c r="G19" s="463">
        <v>4589500</v>
      </c>
      <c r="H19" s="575">
        <v>4588900</v>
      </c>
      <c r="I19" s="25">
        <v>190000</v>
      </c>
    </row>
    <row r="20" spans="1:14" s="25" customFormat="1" ht="15.75" customHeight="1" thickBot="1" x14ac:dyDescent="0.25">
      <c r="A20" s="674" t="s">
        <v>34</v>
      </c>
      <c r="B20" s="675"/>
      <c r="C20" s="676"/>
      <c r="D20" s="27">
        <f>SUM(D21:D23)</f>
        <v>0</v>
      </c>
      <c r="E20" s="379">
        <f>SUM(E21:E22)</f>
        <v>16641484</v>
      </c>
      <c r="F20" s="49">
        <f t="shared" si="0"/>
        <v>16641484</v>
      </c>
      <c r="G20" s="567">
        <f>SUM(G21:G22)</f>
        <v>39882294</v>
      </c>
      <c r="H20" s="576">
        <f>SUM(H21:H22)</f>
        <v>39473189</v>
      </c>
    </row>
    <row r="21" spans="1:14" ht="20.25" customHeight="1" thickBot="1" x14ac:dyDescent="0.25">
      <c r="A21" s="28" t="s">
        <v>22</v>
      </c>
      <c r="B21" s="683" t="s">
        <v>194</v>
      </c>
      <c r="C21" s="683"/>
      <c r="D21" s="177"/>
      <c r="E21" s="172">
        <f t="shared" si="1"/>
        <v>16641484</v>
      </c>
      <c r="F21" s="49">
        <f t="shared" si="0"/>
        <v>16641484</v>
      </c>
      <c r="G21" s="463">
        <v>39132294</v>
      </c>
      <c r="H21" s="575">
        <v>38723189</v>
      </c>
      <c r="I21" s="2">
        <v>8730000</v>
      </c>
      <c r="J21" s="2">
        <v>1270000</v>
      </c>
      <c r="K21" s="2">
        <v>6641484</v>
      </c>
    </row>
    <row r="22" spans="1:14" ht="33" customHeight="1" thickBot="1" x14ac:dyDescent="0.25">
      <c r="A22" s="29" t="s">
        <v>24</v>
      </c>
      <c r="B22" s="716" t="s">
        <v>441</v>
      </c>
      <c r="C22" s="717"/>
      <c r="D22" s="193"/>
      <c r="E22" s="179">
        <f t="shared" si="1"/>
        <v>0</v>
      </c>
      <c r="F22" s="428">
        <f t="shared" si="0"/>
        <v>0</v>
      </c>
      <c r="G22" s="568">
        <v>750000</v>
      </c>
      <c r="H22" s="577">
        <v>750000</v>
      </c>
    </row>
    <row r="23" spans="1:14" ht="15.75" customHeight="1" x14ac:dyDescent="0.2">
      <c r="A23" s="689" t="s">
        <v>432</v>
      </c>
      <c r="B23" s="690"/>
      <c r="C23" s="690"/>
      <c r="D23" s="187"/>
      <c r="E23" s="188">
        <v>2432107</v>
      </c>
      <c r="F23" s="453">
        <f>SUM(D23:E23)</f>
        <v>2432107</v>
      </c>
      <c r="G23" s="479">
        <v>2588931</v>
      </c>
      <c r="H23" s="578">
        <v>2588931</v>
      </c>
    </row>
    <row r="24" spans="1:14" ht="15.75" customHeight="1" thickBot="1" x14ac:dyDescent="0.25">
      <c r="A24" s="444" t="s">
        <v>22</v>
      </c>
      <c r="B24" s="718" t="s">
        <v>442</v>
      </c>
      <c r="C24" s="719"/>
      <c r="D24" s="455"/>
      <c r="E24" s="174">
        <v>2432107</v>
      </c>
      <c r="F24" s="456">
        <v>2432107</v>
      </c>
      <c r="G24" s="476">
        <v>2588931</v>
      </c>
      <c r="H24" s="579">
        <v>2588931</v>
      </c>
    </row>
    <row r="25" spans="1:14" s="25" customFormat="1" ht="18" customHeight="1" x14ac:dyDescent="0.2">
      <c r="A25" s="674" t="s">
        <v>42</v>
      </c>
      <c r="B25" s="675"/>
      <c r="C25" s="676"/>
      <c r="D25" s="188">
        <f>D26+D27</f>
        <v>0</v>
      </c>
      <c r="E25" s="188">
        <f>E26+E27</f>
        <v>4415143</v>
      </c>
      <c r="F25" s="428">
        <f t="shared" si="0"/>
        <v>4415143</v>
      </c>
      <c r="G25" s="569">
        <v>3913086</v>
      </c>
      <c r="H25" s="581">
        <v>0</v>
      </c>
    </row>
    <row r="26" spans="1:14" s="25" customFormat="1" ht="18" customHeight="1" x14ac:dyDescent="0.2">
      <c r="A26" s="33" t="s">
        <v>22</v>
      </c>
      <c r="B26" s="692" t="s">
        <v>43</v>
      </c>
      <c r="C26" s="693"/>
      <c r="D26" s="175"/>
      <c r="E26" s="172">
        <f t="shared" ref="E26" si="2">SUM(I26:Y26)</f>
        <v>0</v>
      </c>
      <c r="F26" s="452">
        <f t="shared" si="0"/>
        <v>0</v>
      </c>
      <c r="G26" s="463">
        <v>0</v>
      </c>
      <c r="H26" s="575">
        <v>0</v>
      </c>
    </row>
    <row r="27" spans="1:14" s="25" customFormat="1" ht="18" customHeight="1" x14ac:dyDescent="0.2">
      <c r="A27" s="694" t="s">
        <v>24</v>
      </c>
      <c r="B27" s="692" t="s">
        <v>44</v>
      </c>
      <c r="C27" s="693"/>
      <c r="D27" s="175">
        <f>SUM(D28:D29)</f>
        <v>0</v>
      </c>
      <c r="E27" s="175">
        <f>SUM(E28:E29)</f>
        <v>4415143</v>
      </c>
      <c r="F27" s="452">
        <f t="shared" si="0"/>
        <v>4415143</v>
      </c>
      <c r="G27" s="480">
        <f>SUM(G28:G29)</f>
        <v>3913086</v>
      </c>
      <c r="H27" s="580">
        <v>0</v>
      </c>
    </row>
    <row r="28" spans="1:14" ht="18" customHeight="1" x14ac:dyDescent="0.2">
      <c r="A28" s="695"/>
      <c r="B28" s="34" t="s">
        <v>22</v>
      </c>
      <c r="C28" s="35" t="s">
        <v>45</v>
      </c>
      <c r="D28" s="189"/>
      <c r="E28" s="172">
        <v>4415143</v>
      </c>
      <c r="F28" s="452">
        <f t="shared" si="0"/>
        <v>4415143</v>
      </c>
      <c r="G28" s="463">
        <v>3913086</v>
      </c>
      <c r="H28" s="575">
        <v>0</v>
      </c>
      <c r="I28" s="2">
        <f>4815942+2031308</f>
        <v>6847250</v>
      </c>
    </row>
    <row r="29" spans="1:14" s="25" customFormat="1" ht="18" customHeight="1" thickBot="1" x14ac:dyDescent="0.25">
      <c r="A29" s="696"/>
      <c r="B29" s="37" t="s">
        <v>24</v>
      </c>
      <c r="C29" s="38" t="s">
        <v>46</v>
      </c>
      <c r="D29" s="190"/>
      <c r="E29" s="172">
        <f t="shared" ref="E29" si="3">SUM(I29:Y29)</f>
        <v>0</v>
      </c>
      <c r="F29" s="429">
        <f t="shared" si="0"/>
        <v>0</v>
      </c>
      <c r="G29" s="463">
        <v>0</v>
      </c>
      <c r="H29" s="575">
        <v>0</v>
      </c>
    </row>
    <row r="30" spans="1:14" s="25" customFormat="1" ht="18" customHeight="1" thickBot="1" x14ac:dyDescent="0.25">
      <c r="A30" s="39"/>
      <c r="B30" s="697" t="s">
        <v>47</v>
      </c>
      <c r="C30" s="697"/>
      <c r="D30" s="191">
        <f>SUM(D10,D20,D25)</f>
        <v>0</v>
      </c>
      <c r="E30" s="195">
        <f>SUM(E10,E20,E23,E25)</f>
        <v>74496500</v>
      </c>
      <c r="F30" s="49">
        <f t="shared" si="0"/>
        <v>74496500</v>
      </c>
      <c r="G30" s="570">
        <f>SUM(G10,G20,G23,G25)</f>
        <v>107205186</v>
      </c>
      <c r="H30" s="582">
        <f>SUM(H10,H20,H23,H25)</f>
        <v>101008911</v>
      </c>
    </row>
    <row r="31" spans="1:14" s="25" customFormat="1" ht="18" customHeight="1" x14ac:dyDescent="0.2">
      <c r="A31" s="33">
        <v>1</v>
      </c>
      <c r="B31" s="714" t="s">
        <v>48</v>
      </c>
      <c r="C31" s="714"/>
      <c r="D31" s="192">
        <f>SUM(D32:D33)</f>
        <v>0</v>
      </c>
      <c r="E31" s="192">
        <f>SUM(E32:E33)</f>
        <v>0</v>
      </c>
      <c r="F31" s="428">
        <f>SUM(D31:E31)</f>
        <v>0</v>
      </c>
      <c r="G31" s="463">
        <v>0</v>
      </c>
      <c r="H31" s="575">
        <v>0</v>
      </c>
    </row>
    <row r="32" spans="1:14" s="25" customFormat="1" ht="18" customHeight="1" x14ac:dyDescent="0.2">
      <c r="A32" s="684"/>
      <c r="B32" s="23" t="s">
        <v>22</v>
      </c>
      <c r="C32" s="40" t="s">
        <v>49</v>
      </c>
      <c r="D32" s="178"/>
      <c r="E32" s="172">
        <f t="shared" ref="E32:E33" si="4">SUM(I32:Y32)</f>
        <v>0</v>
      </c>
      <c r="F32" s="452">
        <f t="shared" si="0"/>
        <v>0</v>
      </c>
      <c r="G32" s="463">
        <v>0</v>
      </c>
      <c r="H32" s="575">
        <v>0</v>
      </c>
    </row>
    <row r="33" spans="1:27" s="25" customFormat="1" ht="18" customHeight="1" x14ac:dyDescent="0.2">
      <c r="A33" s="685"/>
      <c r="B33" s="23" t="s">
        <v>24</v>
      </c>
      <c r="C33" s="40" t="s">
        <v>50</v>
      </c>
      <c r="D33" s="178"/>
      <c r="E33" s="172">
        <f t="shared" si="4"/>
        <v>0</v>
      </c>
      <c r="F33" s="452">
        <f t="shared" si="0"/>
        <v>0</v>
      </c>
      <c r="G33" s="463">
        <v>0</v>
      </c>
      <c r="H33" s="575">
        <v>0</v>
      </c>
    </row>
    <row r="34" spans="1:27" s="25" customFormat="1" ht="18" customHeight="1" x14ac:dyDescent="0.2">
      <c r="A34" s="41" t="s">
        <v>24</v>
      </c>
      <c r="B34" s="672" t="s">
        <v>51</v>
      </c>
      <c r="C34" s="672"/>
      <c r="D34" s="176">
        <f>SUM(D35:D37)</f>
        <v>0</v>
      </c>
      <c r="E34" s="176">
        <f>SUM(E35:E37)</f>
        <v>0</v>
      </c>
      <c r="F34" s="452">
        <f t="shared" si="0"/>
        <v>0</v>
      </c>
      <c r="G34" s="463">
        <v>0</v>
      </c>
      <c r="H34" s="575">
        <v>0</v>
      </c>
    </row>
    <row r="35" spans="1:27" s="25" customFormat="1" ht="18" customHeight="1" x14ac:dyDescent="0.2">
      <c r="A35" s="684"/>
      <c r="B35" s="23" t="s">
        <v>22</v>
      </c>
      <c r="C35" s="24" t="s">
        <v>52</v>
      </c>
      <c r="D35" s="177"/>
      <c r="E35" s="172">
        <f t="shared" ref="E35:E37" si="5">SUM(I35:Y35)</f>
        <v>0</v>
      </c>
      <c r="F35" s="452">
        <f t="shared" si="0"/>
        <v>0</v>
      </c>
      <c r="G35" s="463">
        <v>0</v>
      </c>
      <c r="H35" s="575">
        <v>0</v>
      </c>
    </row>
    <row r="36" spans="1:27" s="25" customFormat="1" ht="18" customHeight="1" x14ac:dyDescent="0.2">
      <c r="A36" s="685"/>
      <c r="B36" s="23" t="s">
        <v>24</v>
      </c>
      <c r="C36" s="24" t="s">
        <v>53</v>
      </c>
      <c r="D36" s="177"/>
      <c r="E36" s="172">
        <f t="shared" si="5"/>
        <v>0</v>
      </c>
      <c r="F36" s="452">
        <f t="shared" si="0"/>
        <v>0</v>
      </c>
      <c r="G36" s="463">
        <v>0</v>
      </c>
      <c r="H36" s="575">
        <v>0</v>
      </c>
    </row>
    <row r="37" spans="1:27" s="25" customFormat="1" ht="18" customHeight="1" thickBot="1" x14ac:dyDescent="0.25">
      <c r="A37" s="42"/>
      <c r="B37" s="43" t="s">
        <v>26</v>
      </c>
      <c r="C37" s="44" t="s">
        <v>54</v>
      </c>
      <c r="D37" s="193"/>
      <c r="E37" s="172">
        <f t="shared" si="5"/>
        <v>0</v>
      </c>
      <c r="F37" s="429">
        <f t="shared" si="0"/>
        <v>0</v>
      </c>
      <c r="G37" s="463">
        <v>0</v>
      </c>
      <c r="H37" s="575">
        <v>0</v>
      </c>
    </row>
    <row r="38" spans="1:27" s="25" customFormat="1" ht="18" customHeight="1" thickBot="1" x14ac:dyDescent="0.25">
      <c r="A38" s="39"/>
      <c r="B38" s="712" t="s">
        <v>55</v>
      </c>
      <c r="C38" s="713"/>
      <c r="D38" s="194">
        <f>D31+D34</f>
        <v>0</v>
      </c>
      <c r="E38" s="195">
        <f>E34+E31</f>
        <v>0</v>
      </c>
      <c r="F38" s="49">
        <f t="shared" si="0"/>
        <v>0</v>
      </c>
      <c r="G38" s="463">
        <v>0</v>
      </c>
      <c r="H38" s="575">
        <v>0</v>
      </c>
    </row>
    <row r="39" spans="1:27" s="25" customFormat="1" ht="21" customHeight="1" thickBot="1" x14ac:dyDescent="0.25">
      <c r="A39" s="45"/>
      <c r="B39" s="710" t="s">
        <v>56</v>
      </c>
      <c r="C39" s="710"/>
      <c r="D39" s="180">
        <f>D38+D30</f>
        <v>0</v>
      </c>
      <c r="E39" s="380">
        <f>E38+E30</f>
        <v>74496500</v>
      </c>
      <c r="F39" s="49">
        <f t="shared" si="0"/>
        <v>74496500</v>
      </c>
      <c r="G39" s="571">
        <f>G38+G30</f>
        <v>107205186</v>
      </c>
      <c r="H39" s="583">
        <f>H38+H30</f>
        <v>101008911</v>
      </c>
      <c r="I39" s="25">
        <f>SUM(I12:I38)</f>
        <v>28179650</v>
      </c>
      <c r="J39" s="25">
        <f t="shared" ref="J39:AA39" si="6">SUM(J12:J38)</f>
        <v>1524000</v>
      </c>
      <c r="K39" s="25">
        <f t="shared" si="6"/>
        <v>9678744</v>
      </c>
      <c r="L39" s="25">
        <f t="shared" si="6"/>
        <v>11724710</v>
      </c>
      <c r="M39" s="25">
        <f t="shared" si="6"/>
        <v>4000000</v>
      </c>
      <c r="N39" s="25">
        <f t="shared" si="6"/>
        <v>1183400</v>
      </c>
      <c r="O39" s="25">
        <f t="shared" si="6"/>
        <v>3869366</v>
      </c>
      <c r="P39" s="25">
        <f t="shared" si="6"/>
        <v>2220000</v>
      </c>
      <c r="Q39" s="25">
        <f t="shared" si="6"/>
        <v>250000</v>
      </c>
      <c r="R39" s="25">
        <f t="shared" si="6"/>
        <v>2220000</v>
      </c>
      <c r="S39" s="25">
        <f t="shared" si="6"/>
        <v>50000</v>
      </c>
      <c r="T39" s="25">
        <f t="shared" si="6"/>
        <v>0</v>
      </c>
      <c r="U39" s="25">
        <f t="shared" si="6"/>
        <v>825000</v>
      </c>
      <c r="V39" s="25">
        <f t="shared" si="6"/>
        <v>320000</v>
      </c>
      <c r="W39" s="25">
        <f t="shared" si="6"/>
        <v>6256000</v>
      </c>
      <c r="X39" s="25">
        <f t="shared" si="6"/>
        <v>1918020</v>
      </c>
      <c r="Y39" s="25">
        <f t="shared" si="6"/>
        <v>277610</v>
      </c>
      <c r="Z39" s="25">
        <f t="shared" si="6"/>
        <v>0</v>
      </c>
      <c r="AA39" s="25">
        <f t="shared" si="6"/>
        <v>0</v>
      </c>
    </row>
    <row r="40" spans="1:27" ht="15.75" customHeight="1" thickBot="1" x14ac:dyDescent="0.25">
      <c r="D40" s="196"/>
      <c r="E40" s="197"/>
      <c r="F40" s="49"/>
      <c r="G40" s="463">
        <v>0</v>
      </c>
      <c r="H40" s="575">
        <v>0</v>
      </c>
    </row>
    <row r="41" spans="1:27" ht="15.75" customHeight="1" thickBot="1" x14ac:dyDescent="0.25">
      <c r="A41" s="46" t="s">
        <v>22</v>
      </c>
      <c r="B41" s="715" t="s">
        <v>57</v>
      </c>
      <c r="C41" s="715"/>
      <c r="D41" s="187">
        <f>D10+D28+D32+D35</f>
        <v>0</v>
      </c>
      <c r="E41" s="355">
        <f>E10+E23+E28+E32+E35</f>
        <v>57855016</v>
      </c>
      <c r="F41" s="49">
        <f t="shared" si="0"/>
        <v>57855016</v>
      </c>
      <c r="G41" s="474">
        <f>G10+G23+G28+G32+G35</f>
        <v>67322892</v>
      </c>
      <c r="H41" s="584">
        <f>H10+H23+H28+H32+H35</f>
        <v>61535722</v>
      </c>
    </row>
    <row r="42" spans="1:27" ht="15.75" customHeight="1" thickBot="1" x14ac:dyDescent="0.25">
      <c r="A42" s="47" t="s">
        <v>24</v>
      </c>
      <c r="B42" s="700" t="s">
        <v>58</v>
      </c>
      <c r="C42" s="700"/>
      <c r="D42" s="186">
        <f>D20+D29+D33+D36+D37</f>
        <v>0</v>
      </c>
      <c r="E42" s="179">
        <f>E20+E29+E33+E36+E37</f>
        <v>16641484</v>
      </c>
      <c r="F42" s="49">
        <f t="shared" si="0"/>
        <v>16641484</v>
      </c>
      <c r="G42" s="568">
        <f>G20+G29+G33+G36+G37</f>
        <v>39882294</v>
      </c>
      <c r="H42" s="577">
        <f>H20+H29+H33+H36+H37</f>
        <v>39473189</v>
      </c>
    </row>
    <row r="43" spans="1:27" ht="21" customHeight="1" thickBot="1" x14ac:dyDescent="0.25">
      <c r="A43" s="48"/>
      <c r="B43" s="710" t="s">
        <v>56</v>
      </c>
      <c r="C43" s="710"/>
      <c r="D43" s="198">
        <f>D41+D42</f>
        <v>0</v>
      </c>
      <c r="E43" s="198">
        <f>E41+E42</f>
        <v>74496500</v>
      </c>
      <c r="F43" s="49">
        <f>SUM(D43:E43)</f>
        <v>74496500</v>
      </c>
      <c r="G43" s="572">
        <f>G41+G42</f>
        <v>107205186</v>
      </c>
      <c r="H43" s="585">
        <f>H41+H42</f>
        <v>101008911</v>
      </c>
    </row>
  </sheetData>
  <mergeCells count="32">
    <mergeCell ref="D7:F7"/>
    <mergeCell ref="A10:C10"/>
    <mergeCell ref="B19:C19"/>
    <mergeCell ref="A1:H1"/>
    <mergeCell ref="A3:H3"/>
    <mergeCell ref="A5:H5"/>
    <mergeCell ref="H8:H9"/>
    <mergeCell ref="F8:F9"/>
    <mergeCell ref="G8:G9"/>
    <mergeCell ref="A7:C9"/>
    <mergeCell ref="B22:C22"/>
    <mergeCell ref="B24:C24"/>
    <mergeCell ref="A23:C23"/>
    <mergeCell ref="A25:C25"/>
    <mergeCell ref="B26:C26"/>
    <mergeCell ref="A11:A16"/>
    <mergeCell ref="B11:C11"/>
    <mergeCell ref="B21:C21"/>
    <mergeCell ref="B18:C18"/>
    <mergeCell ref="A20:C20"/>
    <mergeCell ref="A32:A33"/>
    <mergeCell ref="B42:C42"/>
    <mergeCell ref="A35:A36"/>
    <mergeCell ref="A27:A29"/>
    <mergeCell ref="B43:C43"/>
    <mergeCell ref="B39:C39"/>
    <mergeCell ref="B34:C34"/>
    <mergeCell ref="B38:C38"/>
    <mergeCell ref="B31:C31"/>
    <mergeCell ref="B41:C41"/>
    <mergeCell ref="B30:C30"/>
    <mergeCell ref="B27:C27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 tint="0.39997558519241921"/>
  </sheetPr>
  <dimension ref="A1:K48"/>
  <sheetViews>
    <sheetView view="pageBreakPreview" topLeftCell="A22" zoomScale="85" zoomScaleNormal="100" zoomScaleSheetLayoutView="85" workbookViewId="0">
      <selection activeCell="F7" sqref="F7"/>
    </sheetView>
  </sheetViews>
  <sheetFormatPr defaultRowHeight="15.75" customHeight="1" x14ac:dyDescent="0.2"/>
  <cols>
    <col min="1" max="2" width="3.7109375" style="1" customWidth="1"/>
    <col min="3" max="3" width="42.7109375" style="2" customWidth="1"/>
    <col min="4" max="4" width="12.7109375" style="2" customWidth="1"/>
    <col min="5" max="5" width="12.7109375" style="6" customWidth="1"/>
    <col min="6" max="7" width="15" style="2" customWidth="1"/>
    <col min="8" max="10" width="11.7109375" style="2" customWidth="1"/>
    <col min="11" max="16384" width="9.140625" style="2"/>
  </cols>
  <sheetData>
    <row r="1" spans="1:11" ht="32.25" customHeight="1" x14ac:dyDescent="0.2">
      <c r="A1" s="742" t="s">
        <v>459</v>
      </c>
      <c r="B1" s="742"/>
      <c r="C1" s="742"/>
      <c r="D1" s="742"/>
      <c r="E1" s="742"/>
      <c r="F1" s="742"/>
      <c r="G1" s="742"/>
    </row>
    <row r="2" spans="1:11" ht="32.25" customHeight="1" x14ac:dyDescent="0.2">
      <c r="A2" s="400"/>
      <c r="B2" s="400"/>
      <c r="C2" s="400"/>
      <c r="D2" s="400"/>
      <c r="G2" s="400" t="s">
        <v>413</v>
      </c>
    </row>
    <row r="3" spans="1:11" ht="15.75" customHeight="1" x14ac:dyDescent="0.2">
      <c r="A3" s="635" t="s">
        <v>191</v>
      </c>
      <c r="B3" s="635"/>
      <c r="C3" s="635"/>
      <c r="D3" s="635"/>
      <c r="E3" s="635"/>
      <c r="F3" s="635"/>
      <c r="G3" s="635"/>
    </row>
    <row r="4" spans="1:11" ht="8.25" customHeight="1" x14ac:dyDescent="0.2">
      <c r="A4" s="10"/>
      <c r="B4" s="10"/>
      <c r="C4" s="10"/>
      <c r="D4" s="10"/>
      <c r="E4" s="15"/>
    </row>
    <row r="5" spans="1:11" ht="15.75" customHeight="1" x14ac:dyDescent="0.2">
      <c r="A5" s="635" t="s">
        <v>115</v>
      </c>
      <c r="B5" s="635"/>
      <c r="C5" s="635"/>
      <c r="D5" s="635"/>
      <c r="E5" s="635"/>
      <c r="F5" s="635"/>
      <c r="G5" s="635"/>
    </row>
    <row r="6" spans="1:11" ht="8.25" customHeight="1" thickBot="1" x14ac:dyDescent="0.25">
      <c r="E6" s="17"/>
    </row>
    <row r="7" spans="1:11" ht="36" customHeight="1" thickBot="1" x14ac:dyDescent="0.25">
      <c r="A7" s="701" t="s">
        <v>16</v>
      </c>
      <c r="B7" s="702"/>
      <c r="C7" s="702"/>
      <c r="D7" s="746" t="s">
        <v>64</v>
      </c>
      <c r="E7" s="747"/>
      <c r="F7" s="503" t="s">
        <v>431</v>
      </c>
      <c r="G7" s="503" t="s">
        <v>255</v>
      </c>
    </row>
    <row r="8" spans="1:11" ht="39.75" customHeight="1" x14ac:dyDescent="0.2">
      <c r="A8" s="703"/>
      <c r="B8" s="704"/>
      <c r="C8" s="704"/>
      <c r="D8" s="242" t="s">
        <v>115</v>
      </c>
      <c r="E8" s="131" t="s">
        <v>135</v>
      </c>
      <c r="F8" s="242" t="s">
        <v>115</v>
      </c>
      <c r="G8" s="242" t="s">
        <v>115</v>
      </c>
    </row>
    <row r="9" spans="1:11" ht="30" customHeight="1" thickBot="1" x14ac:dyDescent="0.25">
      <c r="A9" s="705"/>
      <c r="B9" s="706"/>
      <c r="C9" s="706"/>
      <c r="D9" s="243" t="s">
        <v>20</v>
      </c>
      <c r="E9" s="132"/>
      <c r="F9" s="243" t="s">
        <v>20</v>
      </c>
      <c r="G9" s="243" t="s">
        <v>20</v>
      </c>
    </row>
    <row r="10" spans="1:11" ht="15.75" customHeight="1" x14ac:dyDescent="0.2">
      <c r="A10" s="674" t="s">
        <v>21</v>
      </c>
      <c r="B10" s="675"/>
      <c r="C10" s="676"/>
      <c r="D10" s="377">
        <f>D11+D17+D18</f>
        <v>49458648</v>
      </c>
      <c r="E10" s="465">
        <f>D10</f>
        <v>49458648</v>
      </c>
      <c r="F10" s="377">
        <f>F11+F17+F18</f>
        <v>47581013</v>
      </c>
      <c r="G10" s="377">
        <f>G11+G17+G18</f>
        <v>46909472</v>
      </c>
    </row>
    <row r="11" spans="1:11" ht="15.75" customHeight="1" x14ac:dyDescent="0.2">
      <c r="A11" s="694" t="s">
        <v>22</v>
      </c>
      <c r="B11" s="692" t="s">
        <v>21</v>
      </c>
      <c r="C11" s="693"/>
      <c r="D11" s="378">
        <f>SUM(D12:D16)</f>
        <v>49458648</v>
      </c>
      <c r="E11" s="466">
        <f t="shared" ref="E11:E48" si="0">D11</f>
        <v>49458648</v>
      </c>
      <c r="F11" s="378">
        <f>SUM(F12:F16)</f>
        <v>47581013</v>
      </c>
      <c r="G11" s="378">
        <f>SUM(G12:G16)</f>
        <v>46909472</v>
      </c>
      <c r="H11" s="2" t="s">
        <v>361</v>
      </c>
      <c r="I11" s="2" t="s">
        <v>362</v>
      </c>
      <c r="J11" s="2" t="s">
        <v>363</v>
      </c>
      <c r="K11" s="2" t="s">
        <v>364</v>
      </c>
    </row>
    <row r="12" spans="1:11" ht="15.75" customHeight="1" x14ac:dyDescent="0.2">
      <c r="A12" s="695"/>
      <c r="B12" s="23" t="s">
        <v>22</v>
      </c>
      <c r="C12" s="24" t="s">
        <v>23</v>
      </c>
      <c r="D12" s="365">
        <f>SUM(H12:K12)</f>
        <v>25365000</v>
      </c>
      <c r="E12" s="466">
        <f>D12</f>
        <v>25365000</v>
      </c>
      <c r="F12" s="484">
        <v>25755000</v>
      </c>
      <c r="G12" s="484">
        <v>25488662</v>
      </c>
      <c r="H12" s="451">
        <v>10501000</v>
      </c>
      <c r="I12" s="2">
        <v>14864000</v>
      </c>
    </row>
    <row r="13" spans="1:11" ht="15.75" customHeight="1" x14ac:dyDescent="0.2">
      <c r="A13" s="695"/>
      <c r="B13" s="23" t="s">
        <v>24</v>
      </c>
      <c r="C13" s="24" t="s">
        <v>25</v>
      </c>
      <c r="D13" s="365">
        <f t="shared" ref="D13:D14" si="1">SUM(H13:K13)</f>
        <v>4931675</v>
      </c>
      <c r="E13" s="466">
        <f t="shared" ref="E13:E14" si="2">D13</f>
        <v>4931675</v>
      </c>
      <c r="F13" s="484">
        <v>4931675</v>
      </c>
      <c r="G13" s="484">
        <v>4843817</v>
      </c>
      <c r="H13" s="451">
        <v>2050545</v>
      </c>
      <c r="I13" s="2">
        <v>2881130</v>
      </c>
    </row>
    <row r="14" spans="1:11" ht="15.75" customHeight="1" x14ac:dyDescent="0.2">
      <c r="A14" s="695"/>
      <c r="B14" s="23" t="s">
        <v>26</v>
      </c>
      <c r="C14" s="24" t="s">
        <v>27</v>
      </c>
      <c r="D14" s="365">
        <f t="shared" si="1"/>
        <v>19161973</v>
      </c>
      <c r="E14" s="466">
        <f t="shared" si="2"/>
        <v>19161973</v>
      </c>
      <c r="F14" s="484">
        <v>16894338</v>
      </c>
      <c r="G14" s="484">
        <v>16576993</v>
      </c>
      <c r="H14" s="2">
        <v>2679000</v>
      </c>
      <c r="I14" s="2">
        <v>11604553</v>
      </c>
      <c r="J14" s="2">
        <v>2960400</v>
      </c>
      <c r="K14" s="2">
        <v>1918020</v>
      </c>
    </row>
    <row r="15" spans="1:11" ht="15.75" customHeight="1" x14ac:dyDescent="0.2">
      <c r="A15" s="695"/>
      <c r="B15" s="23" t="s">
        <v>28</v>
      </c>
      <c r="C15" s="24" t="s">
        <v>29</v>
      </c>
      <c r="D15" s="172"/>
      <c r="E15" s="466">
        <f t="shared" si="0"/>
        <v>0</v>
      </c>
      <c r="F15" s="484">
        <v>0</v>
      </c>
      <c r="G15" s="484">
        <v>0</v>
      </c>
    </row>
    <row r="16" spans="1:11" ht="15.75" customHeight="1" x14ac:dyDescent="0.2">
      <c r="A16" s="743"/>
      <c r="B16" s="23" t="s">
        <v>30</v>
      </c>
      <c r="C16" s="24" t="s">
        <v>31</v>
      </c>
      <c r="D16" s="172"/>
      <c r="E16" s="466">
        <f t="shared" si="0"/>
        <v>0</v>
      </c>
      <c r="F16" s="484">
        <v>0</v>
      </c>
      <c r="G16" s="484">
        <v>0</v>
      </c>
    </row>
    <row r="17" spans="1:8" s="25" customFormat="1" ht="15.75" customHeight="1" x14ac:dyDescent="0.2">
      <c r="A17" s="22" t="s">
        <v>24</v>
      </c>
      <c r="B17" s="728" t="s">
        <v>32</v>
      </c>
      <c r="C17" s="729"/>
      <c r="D17" s="173"/>
      <c r="E17" s="466">
        <f t="shared" si="0"/>
        <v>0</v>
      </c>
      <c r="F17" s="484">
        <v>0</v>
      </c>
      <c r="G17" s="484">
        <v>0</v>
      </c>
    </row>
    <row r="18" spans="1:8" s="25" customFormat="1" ht="15.75" customHeight="1" thickBot="1" x14ac:dyDescent="0.25">
      <c r="A18" s="26" t="s">
        <v>26</v>
      </c>
      <c r="B18" s="730" t="s">
        <v>33</v>
      </c>
      <c r="C18" s="731"/>
      <c r="D18" s="185"/>
      <c r="E18" s="467">
        <f t="shared" si="0"/>
        <v>0</v>
      </c>
      <c r="F18" s="471"/>
      <c r="G18" s="471"/>
    </row>
    <row r="19" spans="1:8" s="25" customFormat="1" ht="15.75" customHeight="1" x14ac:dyDescent="0.2">
      <c r="A19" s="674" t="s">
        <v>34</v>
      </c>
      <c r="B19" s="675"/>
      <c r="C19" s="676"/>
      <c r="D19" s="377">
        <f>SUM(D20:D22)</f>
        <v>978000</v>
      </c>
      <c r="E19" s="465">
        <f t="shared" si="0"/>
        <v>978000</v>
      </c>
      <c r="F19" s="377">
        <f>SUM(F20:F22)</f>
        <v>485000</v>
      </c>
      <c r="G19" s="377">
        <f>SUM(G20:G22)</f>
        <v>457769</v>
      </c>
    </row>
    <row r="20" spans="1:8" ht="20.25" customHeight="1" x14ac:dyDescent="0.2">
      <c r="A20" s="28" t="s">
        <v>22</v>
      </c>
      <c r="B20" s="744" t="s">
        <v>194</v>
      </c>
      <c r="C20" s="745"/>
      <c r="D20" s="365">
        <f>SUM(H20:K20)</f>
        <v>978000</v>
      </c>
      <c r="E20" s="466">
        <f t="shared" si="0"/>
        <v>978000</v>
      </c>
      <c r="F20" s="469">
        <v>485000</v>
      </c>
      <c r="G20" s="469">
        <v>457769</v>
      </c>
      <c r="H20" s="2">
        <v>978000</v>
      </c>
    </row>
    <row r="21" spans="1:8" ht="15.75" customHeight="1" x14ac:dyDescent="0.2">
      <c r="A21" s="28" t="s">
        <v>24</v>
      </c>
      <c r="B21" s="744" t="s">
        <v>35</v>
      </c>
      <c r="C21" s="745"/>
      <c r="D21" s="172"/>
      <c r="E21" s="466">
        <f t="shared" si="0"/>
        <v>0</v>
      </c>
      <c r="F21" s="469"/>
      <c r="G21" s="469"/>
    </row>
    <row r="22" spans="1:8" ht="15.75" customHeight="1" thickBot="1" x14ac:dyDescent="0.25">
      <c r="A22" s="29" t="s">
        <v>26</v>
      </c>
      <c r="B22" s="718" t="s">
        <v>36</v>
      </c>
      <c r="C22" s="719"/>
      <c r="D22" s="174"/>
      <c r="E22" s="467">
        <f t="shared" si="0"/>
        <v>0</v>
      </c>
      <c r="F22" s="473"/>
      <c r="G22" s="473"/>
    </row>
    <row r="23" spans="1:8" ht="18" customHeight="1" x14ac:dyDescent="0.2">
      <c r="A23" s="674" t="s">
        <v>37</v>
      </c>
      <c r="B23" s="675"/>
      <c r="C23" s="676"/>
      <c r="D23" s="474">
        <f>D24+D27</f>
        <v>0</v>
      </c>
      <c r="E23" s="477">
        <f t="shared" si="0"/>
        <v>0</v>
      </c>
      <c r="F23" s="468"/>
      <c r="G23" s="468"/>
    </row>
    <row r="24" spans="1:8" s="25" customFormat="1" ht="18" customHeight="1" x14ac:dyDescent="0.2">
      <c r="A24" s="694" t="s">
        <v>22</v>
      </c>
      <c r="B24" s="692" t="s">
        <v>38</v>
      </c>
      <c r="C24" s="693"/>
      <c r="D24" s="475">
        <f t="shared" ref="D24" si="3">SUM(D25:D26)</f>
        <v>0</v>
      </c>
      <c r="E24" s="464">
        <f t="shared" si="0"/>
        <v>0</v>
      </c>
      <c r="F24" s="470"/>
      <c r="G24" s="470"/>
    </row>
    <row r="25" spans="1:8" ht="18" customHeight="1" x14ac:dyDescent="0.2">
      <c r="A25" s="695"/>
      <c r="B25" s="23" t="s">
        <v>22</v>
      </c>
      <c r="C25" s="30" t="s">
        <v>39</v>
      </c>
      <c r="D25" s="463"/>
      <c r="E25" s="464">
        <f t="shared" si="0"/>
        <v>0</v>
      </c>
      <c r="F25" s="469"/>
      <c r="G25" s="469"/>
    </row>
    <row r="26" spans="1:8" ht="18" customHeight="1" x14ac:dyDescent="0.2">
      <c r="A26" s="743"/>
      <c r="B26" s="23" t="s">
        <v>24</v>
      </c>
      <c r="C26" s="30" t="s">
        <v>40</v>
      </c>
      <c r="D26" s="463"/>
      <c r="E26" s="464">
        <f t="shared" si="0"/>
        <v>0</v>
      </c>
      <c r="F26" s="469"/>
      <c r="G26" s="469"/>
    </row>
    <row r="27" spans="1:8" s="25" customFormat="1" ht="18" customHeight="1" x14ac:dyDescent="0.2">
      <c r="A27" s="694" t="s">
        <v>24</v>
      </c>
      <c r="B27" s="692" t="s">
        <v>41</v>
      </c>
      <c r="C27" s="693"/>
      <c r="D27" s="475">
        <f>SUM(D28:D29)</f>
        <v>0</v>
      </c>
      <c r="E27" s="464">
        <f t="shared" si="0"/>
        <v>0</v>
      </c>
      <c r="F27" s="470"/>
      <c r="G27" s="470"/>
    </row>
    <row r="28" spans="1:8" ht="15.75" customHeight="1" x14ac:dyDescent="0.2">
      <c r="A28" s="695"/>
      <c r="B28" s="23" t="s">
        <v>22</v>
      </c>
      <c r="C28" s="30" t="s">
        <v>39</v>
      </c>
      <c r="D28" s="463"/>
      <c r="E28" s="464">
        <f t="shared" si="0"/>
        <v>0</v>
      </c>
      <c r="F28" s="469"/>
      <c r="G28" s="469"/>
    </row>
    <row r="29" spans="1:8" ht="15.75" customHeight="1" thickBot="1" x14ac:dyDescent="0.25">
      <c r="A29" s="696"/>
      <c r="B29" s="31" t="s">
        <v>24</v>
      </c>
      <c r="C29" s="32" t="s">
        <v>40</v>
      </c>
      <c r="D29" s="476"/>
      <c r="E29" s="478">
        <f t="shared" si="0"/>
        <v>0</v>
      </c>
      <c r="F29" s="473"/>
      <c r="G29" s="473"/>
    </row>
    <row r="30" spans="1:8" s="25" customFormat="1" ht="18" customHeight="1" x14ac:dyDescent="0.2">
      <c r="A30" s="674" t="s">
        <v>42</v>
      </c>
      <c r="B30" s="675"/>
      <c r="C30" s="676"/>
      <c r="D30" s="479">
        <f>D31+D32</f>
        <v>0</v>
      </c>
      <c r="E30" s="477">
        <f t="shared" si="0"/>
        <v>0</v>
      </c>
      <c r="F30" s="472"/>
      <c r="G30" s="472"/>
    </row>
    <row r="31" spans="1:8" s="25" customFormat="1" ht="18" customHeight="1" x14ac:dyDescent="0.2">
      <c r="A31" s="33" t="s">
        <v>22</v>
      </c>
      <c r="B31" s="692" t="s">
        <v>43</v>
      </c>
      <c r="C31" s="693"/>
      <c r="D31" s="480"/>
      <c r="E31" s="464">
        <f t="shared" si="0"/>
        <v>0</v>
      </c>
      <c r="F31" s="470"/>
      <c r="G31" s="470"/>
    </row>
    <row r="32" spans="1:8" s="25" customFormat="1" ht="18" customHeight="1" x14ac:dyDescent="0.2">
      <c r="A32" s="694" t="s">
        <v>24</v>
      </c>
      <c r="B32" s="692" t="s">
        <v>44</v>
      </c>
      <c r="C32" s="693"/>
      <c r="D32" s="480">
        <f>SUM(D33:D34)</f>
        <v>0</v>
      </c>
      <c r="E32" s="464">
        <f t="shared" si="0"/>
        <v>0</v>
      </c>
      <c r="F32" s="470"/>
      <c r="G32" s="470"/>
    </row>
    <row r="33" spans="1:11" ht="18" customHeight="1" x14ac:dyDescent="0.2">
      <c r="A33" s="695"/>
      <c r="B33" s="34" t="s">
        <v>22</v>
      </c>
      <c r="C33" s="35" t="s">
        <v>45</v>
      </c>
      <c r="D33" s="481"/>
      <c r="E33" s="464">
        <f t="shared" si="0"/>
        <v>0</v>
      </c>
      <c r="F33" s="469"/>
      <c r="G33" s="469"/>
    </row>
    <row r="34" spans="1:11" s="25" customFormat="1" ht="18" customHeight="1" thickBot="1" x14ac:dyDescent="0.25">
      <c r="A34" s="696"/>
      <c r="B34" s="37" t="s">
        <v>24</v>
      </c>
      <c r="C34" s="38" t="s">
        <v>46</v>
      </c>
      <c r="D34" s="482"/>
      <c r="E34" s="478">
        <f t="shared" si="0"/>
        <v>0</v>
      </c>
      <c r="F34" s="471"/>
      <c r="G34" s="471"/>
    </row>
    <row r="35" spans="1:11" s="25" customFormat="1" ht="18" customHeight="1" thickBot="1" x14ac:dyDescent="0.25">
      <c r="A35" s="134"/>
      <c r="B35" s="732" t="s">
        <v>47</v>
      </c>
      <c r="C35" s="713"/>
      <c r="D35" s="195">
        <f>SUM(D10,D19,D30)</f>
        <v>50436648</v>
      </c>
      <c r="E35" s="483">
        <f t="shared" si="0"/>
        <v>50436648</v>
      </c>
      <c r="F35" s="195">
        <f>SUM(F10,F19,F30)</f>
        <v>48066013</v>
      </c>
      <c r="G35" s="195">
        <f>SUM(G10,G19,G30)</f>
        <v>47367241</v>
      </c>
      <c r="H35" s="6">
        <f>SUM(H12:H34)</f>
        <v>16208545</v>
      </c>
      <c r="I35" s="6">
        <f>SUM(I12:I15)</f>
        <v>29349683</v>
      </c>
      <c r="J35" s="6">
        <f>SUM(J12:J15)</f>
        <v>2960400</v>
      </c>
      <c r="K35" s="6">
        <f>SUM(K12:K15)</f>
        <v>1918020</v>
      </c>
    </row>
    <row r="36" spans="1:11" s="25" customFormat="1" ht="18" customHeight="1" x14ac:dyDescent="0.2">
      <c r="A36" s="33">
        <v>1</v>
      </c>
      <c r="B36" s="738" t="s">
        <v>48</v>
      </c>
      <c r="C36" s="739"/>
      <c r="D36" s="133">
        <f t="shared" ref="D36" si="4">SUM(D37:D38)</f>
        <v>0</v>
      </c>
      <c r="E36" s="477">
        <f t="shared" si="0"/>
        <v>0</v>
      </c>
      <c r="F36" s="472"/>
      <c r="G36" s="472"/>
    </row>
    <row r="37" spans="1:11" s="25" customFormat="1" ht="18" customHeight="1" x14ac:dyDescent="0.2">
      <c r="A37" s="684"/>
      <c r="B37" s="23" t="s">
        <v>22</v>
      </c>
      <c r="C37" s="40" t="s">
        <v>49</v>
      </c>
      <c r="D37" s="463"/>
      <c r="E37" s="464">
        <f t="shared" si="0"/>
        <v>0</v>
      </c>
      <c r="F37" s="470"/>
      <c r="G37" s="470"/>
    </row>
    <row r="38" spans="1:11" s="25" customFormat="1" ht="18" customHeight="1" x14ac:dyDescent="0.2">
      <c r="A38" s="685"/>
      <c r="B38" s="23" t="s">
        <v>24</v>
      </c>
      <c r="C38" s="40" t="s">
        <v>50</v>
      </c>
      <c r="D38" s="172"/>
      <c r="E38" s="464">
        <f t="shared" si="0"/>
        <v>0</v>
      </c>
      <c r="F38" s="470"/>
      <c r="G38" s="470"/>
    </row>
    <row r="39" spans="1:11" s="25" customFormat="1" ht="18" customHeight="1" x14ac:dyDescent="0.2">
      <c r="A39" s="41" t="s">
        <v>24</v>
      </c>
      <c r="B39" s="728" t="s">
        <v>51</v>
      </c>
      <c r="C39" s="729"/>
      <c r="D39" s="378">
        <f t="shared" ref="D39" si="5">SUM(D40:D42)</f>
        <v>0</v>
      </c>
      <c r="E39" s="464">
        <f t="shared" si="0"/>
        <v>0</v>
      </c>
      <c r="F39" s="470"/>
      <c r="G39" s="470"/>
    </row>
    <row r="40" spans="1:11" s="25" customFormat="1" ht="18" customHeight="1" x14ac:dyDescent="0.2">
      <c r="A40" s="684"/>
      <c r="B40" s="23" t="s">
        <v>22</v>
      </c>
      <c r="C40" s="24" t="s">
        <v>52</v>
      </c>
      <c r="D40" s="172"/>
      <c r="E40" s="464">
        <f t="shared" si="0"/>
        <v>0</v>
      </c>
      <c r="F40" s="470"/>
      <c r="G40" s="470"/>
    </row>
    <row r="41" spans="1:11" s="25" customFormat="1" ht="18" customHeight="1" x14ac:dyDescent="0.2">
      <c r="A41" s="685"/>
      <c r="B41" s="23" t="s">
        <v>24</v>
      </c>
      <c r="C41" s="24" t="s">
        <v>53</v>
      </c>
      <c r="D41" s="172"/>
      <c r="E41" s="464">
        <f t="shared" si="0"/>
        <v>0</v>
      </c>
      <c r="F41" s="470"/>
      <c r="G41" s="470"/>
    </row>
    <row r="42" spans="1:11" s="25" customFormat="1" ht="18" customHeight="1" thickBot="1" x14ac:dyDescent="0.25">
      <c r="A42" s="42"/>
      <c r="B42" s="43" t="s">
        <v>26</v>
      </c>
      <c r="C42" s="44" t="s">
        <v>54</v>
      </c>
      <c r="D42" s="485"/>
      <c r="E42" s="478">
        <f t="shared" si="0"/>
        <v>0</v>
      </c>
      <c r="F42" s="471"/>
      <c r="G42" s="471"/>
    </row>
    <row r="43" spans="1:11" s="25" customFormat="1" ht="18" customHeight="1" thickBot="1" x14ac:dyDescent="0.25">
      <c r="A43" s="39"/>
      <c r="B43" s="736" t="s">
        <v>55</v>
      </c>
      <c r="C43" s="737"/>
      <c r="D43" s="356">
        <f t="shared" ref="D43:F43" si="6">D39+D36</f>
        <v>0</v>
      </c>
      <c r="E43" s="195">
        <f t="shared" si="0"/>
        <v>0</v>
      </c>
      <c r="F43" s="356">
        <f t="shared" si="6"/>
        <v>0</v>
      </c>
      <c r="G43" s="356">
        <f t="shared" ref="G43" si="7">G39+G36</f>
        <v>0</v>
      </c>
    </row>
    <row r="44" spans="1:11" s="25" customFormat="1" ht="21" customHeight="1" thickBot="1" x14ac:dyDescent="0.25">
      <c r="A44" s="135"/>
      <c r="B44" s="734" t="s">
        <v>56</v>
      </c>
      <c r="C44" s="735"/>
      <c r="D44" s="380">
        <f>D43+D35</f>
        <v>50436648</v>
      </c>
      <c r="E44" s="380">
        <f t="shared" si="0"/>
        <v>50436648</v>
      </c>
      <c r="F44" s="380">
        <f>F43+F35</f>
        <v>48066013</v>
      </c>
      <c r="G44" s="380">
        <f>G43+G35</f>
        <v>47367241</v>
      </c>
    </row>
    <row r="45" spans="1:11" ht="15.75" customHeight="1" thickBot="1" x14ac:dyDescent="0.25">
      <c r="A45" s="136"/>
      <c r="B45" s="8"/>
      <c r="C45" s="244"/>
      <c r="D45" s="486"/>
      <c r="E45" s="487">
        <f t="shared" si="0"/>
        <v>0</v>
      </c>
      <c r="F45" s="488"/>
      <c r="G45" s="488"/>
    </row>
    <row r="46" spans="1:11" ht="15.75" customHeight="1" x14ac:dyDescent="0.2">
      <c r="A46" s="46" t="s">
        <v>22</v>
      </c>
      <c r="B46" s="740" t="s">
        <v>57</v>
      </c>
      <c r="C46" s="741"/>
      <c r="D46" s="355">
        <f>D10+D33+D37+D40</f>
        <v>49458648</v>
      </c>
      <c r="E46" s="377">
        <f t="shared" si="0"/>
        <v>49458648</v>
      </c>
      <c r="F46" s="355">
        <f>F10+F33+F37+F40</f>
        <v>47581013</v>
      </c>
      <c r="G46" s="355">
        <f>G10+G33+G37+G40</f>
        <v>46909472</v>
      </c>
    </row>
    <row r="47" spans="1:11" ht="15.75" customHeight="1" thickBot="1" x14ac:dyDescent="0.25">
      <c r="A47" s="47" t="s">
        <v>24</v>
      </c>
      <c r="B47" s="718" t="s">
        <v>58</v>
      </c>
      <c r="C47" s="719"/>
      <c r="D47" s="174">
        <f>D19+D27+D34+D38+D41+D42</f>
        <v>978000</v>
      </c>
      <c r="E47" s="491">
        <f t="shared" si="0"/>
        <v>978000</v>
      </c>
      <c r="F47" s="174">
        <f>F19+F27+F34+F38+F41+F42</f>
        <v>485000</v>
      </c>
      <c r="G47" s="174">
        <f>G19+G27+G34+G38+G41+G42</f>
        <v>457769</v>
      </c>
    </row>
    <row r="48" spans="1:11" ht="21" customHeight="1" thickBot="1" x14ac:dyDescent="0.25">
      <c r="A48" s="48"/>
      <c r="B48" s="711" t="s">
        <v>56</v>
      </c>
      <c r="C48" s="733"/>
      <c r="D48" s="489">
        <f>D46+D47</f>
        <v>50436648</v>
      </c>
      <c r="E48" s="490">
        <f t="shared" si="0"/>
        <v>50436648</v>
      </c>
      <c r="F48" s="489">
        <f>F46+F47</f>
        <v>48066013</v>
      </c>
      <c r="G48" s="489">
        <f>G46+G47</f>
        <v>47367241</v>
      </c>
    </row>
  </sheetData>
  <mergeCells count="33">
    <mergeCell ref="A1:G1"/>
    <mergeCell ref="A3:G3"/>
    <mergeCell ref="A5:G5"/>
    <mergeCell ref="A24:A26"/>
    <mergeCell ref="B22:C22"/>
    <mergeCell ref="A7:C9"/>
    <mergeCell ref="B21:C21"/>
    <mergeCell ref="A11:A16"/>
    <mergeCell ref="B11:C11"/>
    <mergeCell ref="B20:C20"/>
    <mergeCell ref="A23:C23"/>
    <mergeCell ref="D7:E7"/>
    <mergeCell ref="B47:C47"/>
    <mergeCell ref="B48:C48"/>
    <mergeCell ref="B24:C24"/>
    <mergeCell ref="B27:C27"/>
    <mergeCell ref="B44:C44"/>
    <mergeCell ref="B39:C39"/>
    <mergeCell ref="B43:C43"/>
    <mergeCell ref="B36:C36"/>
    <mergeCell ref="B46:C46"/>
    <mergeCell ref="A40:A41"/>
    <mergeCell ref="A30:C30"/>
    <mergeCell ref="B31:C31"/>
    <mergeCell ref="B32:C32"/>
    <mergeCell ref="A32:A34"/>
    <mergeCell ref="A37:A38"/>
    <mergeCell ref="B35:C35"/>
    <mergeCell ref="A27:A29"/>
    <mergeCell ref="A10:C10"/>
    <mergeCell ref="B17:C17"/>
    <mergeCell ref="B18:C18"/>
    <mergeCell ref="A19:C19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27"/>
  <sheetViews>
    <sheetView view="pageBreakPreview" zoomScale="115" zoomScaleNormal="100" zoomScaleSheetLayoutView="115" workbookViewId="0">
      <selection sqref="A1:H1"/>
    </sheetView>
  </sheetViews>
  <sheetFormatPr defaultRowHeight="12.75" x14ac:dyDescent="0.2"/>
  <cols>
    <col min="1" max="1" width="37.28515625" style="160" customWidth="1"/>
    <col min="2" max="2" width="11.5703125" style="160" customWidth="1"/>
    <col min="3" max="3" width="12.5703125" style="160" customWidth="1"/>
    <col min="4" max="4" width="13.42578125" style="160" customWidth="1"/>
    <col min="5" max="5" width="25.42578125" style="160" customWidth="1"/>
    <col min="6" max="6" width="12.28515625" style="160" customWidth="1"/>
    <col min="7" max="7" width="13.28515625" style="160" customWidth="1"/>
    <col min="8" max="8" width="11" style="160" customWidth="1"/>
    <col min="9" max="16384" width="9.140625" style="160"/>
  </cols>
  <sheetData>
    <row r="1" spans="1:8" ht="12.75" customHeight="1" x14ac:dyDescent="0.2">
      <c r="A1" s="691" t="s">
        <v>677</v>
      </c>
      <c r="B1" s="691"/>
      <c r="C1" s="691"/>
      <c r="D1" s="691"/>
      <c r="E1" s="691"/>
      <c r="F1" s="691"/>
      <c r="G1" s="691"/>
      <c r="H1" s="691"/>
    </row>
    <row r="2" spans="1:8" x14ac:dyDescent="0.2">
      <c r="A2" s="405"/>
      <c r="B2" s="405"/>
      <c r="C2" s="405"/>
      <c r="D2" s="405"/>
      <c r="E2" s="405"/>
      <c r="G2" s="405" t="s">
        <v>414</v>
      </c>
    </row>
    <row r="4" spans="1:8" x14ac:dyDescent="0.2">
      <c r="A4" s="751" t="s">
        <v>443</v>
      </c>
      <c r="B4" s="751"/>
      <c r="C4" s="751"/>
      <c r="D4" s="751"/>
      <c r="E4" s="751"/>
      <c r="F4" s="751"/>
      <c r="G4" s="751"/>
      <c r="H4" s="751"/>
    </row>
    <row r="5" spans="1:8" ht="13.5" thickBot="1" x14ac:dyDescent="0.25"/>
    <row r="6" spans="1:8" x14ac:dyDescent="0.2">
      <c r="A6" s="748" t="s">
        <v>12</v>
      </c>
      <c r="B6" s="749"/>
      <c r="C6" s="524"/>
      <c r="D6" s="540"/>
      <c r="E6" s="748" t="s">
        <v>163</v>
      </c>
      <c r="F6" s="749"/>
      <c r="G6" s="749"/>
      <c r="H6" s="750"/>
    </row>
    <row r="7" spans="1:8" ht="25.5" x14ac:dyDescent="0.2">
      <c r="A7" s="235" t="s">
        <v>16</v>
      </c>
      <c r="B7" s="533" t="s">
        <v>64</v>
      </c>
      <c r="C7" s="533" t="s">
        <v>431</v>
      </c>
      <c r="D7" s="533" t="s">
        <v>255</v>
      </c>
      <c r="E7" s="235" t="s">
        <v>16</v>
      </c>
      <c r="F7" s="545" t="s">
        <v>64</v>
      </c>
      <c r="G7" s="554" t="s">
        <v>431</v>
      </c>
      <c r="H7" s="534" t="s">
        <v>255</v>
      </c>
    </row>
    <row r="8" spans="1:8" x14ac:dyDescent="0.2">
      <c r="A8" s="236"/>
      <c r="B8" s="237"/>
      <c r="C8" s="237"/>
      <c r="D8" s="237"/>
      <c r="E8" s="236"/>
      <c r="F8" s="546"/>
      <c r="G8" s="555"/>
      <c r="H8" s="239"/>
    </row>
    <row r="9" spans="1:8" x14ac:dyDescent="0.2">
      <c r="A9" s="238" t="s">
        <v>164</v>
      </c>
      <c r="B9" s="364">
        <v>10265481</v>
      </c>
      <c r="C9" s="364">
        <v>14440889</v>
      </c>
      <c r="D9" s="364">
        <f>5845248+9350755-1637579</f>
        <v>13558424</v>
      </c>
      <c r="E9" s="238" t="s">
        <v>23</v>
      </c>
      <c r="F9" s="547">
        <f>'4'!G12</f>
        <v>36060490</v>
      </c>
      <c r="G9" s="556">
        <v>40170388</v>
      </c>
      <c r="H9" s="208">
        <v>39833049</v>
      </c>
    </row>
    <row r="10" spans="1:8" x14ac:dyDescent="0.2">
      <c r="A10" s="238" t="s">
        <v>165</v>
      </c>
      <c r="B10" s="364">
        <v>16500000</v>
      </c>
      <c r="C10" s="364">
        <v>19162000</v>
      </c>
      <c r="D10" s="364">
        <v>19160288</v>
      </c>
      <c r="E10" s="238" t="s">
        <v>166</v>
      </c>
      <c r="F10" s="547">
        <f>'4'!G13</f>
        <v>7048371</v>
      </c>
      <c r="G10" s="556">
        <v>7375871</v>
      </c>
      <c r="H10" s="208">
        <v>7287414</v>
      </c>
    </row>
    <row r="11" spans="1:8" x14ac:dyDescent="0.2">
      <c r="A11" s="238" t="s">
        <v>167</v>
      </c>
      <c r="B11" s="364">
        <v>64086279</v>
      </c>
      <c r="C11" s="364">
        <v>70771516</v>
      </c>
      <c r="D11" s="364">
        <v>70771516</v>
      </c>
      <c r="E11" s="238" t="s">
        <v>27</v>
      </c>
      <c r="F11" s="547">
        <f>'4'!G14</f>
        <v>49017653</v>
      </c>
      <c r="G11" s="556">
        <v>46089829</v>
      </c>
      <c r="H11" s="208">
        <v>43975709</v>
      </c>
    </row>
    <row r="12" spans="1:8" x14ac:dyDescent="0.2">
      <c r="A12" s="238" t="s">
        <v>168</v>
      </c>
      <c r="B12" s="364">
        <f>'2a'!G25</f>
        <v>0</v>
      </c>
      <c r="C12" s="364">
        <v>0</v>
      </c>
      <c r="D12" s="364"/>
      <c r="E12" s="238" t="s">
        <v>169</v>
      </c>
      <c r="F12" s="547">
        <v>5290000</v>
      </c>
      <c r="G12" s="556">
        <v>4090000</v>
      </c>
      <c r="H12" s="208">
        <v>4086589</v>
      </c>
    </row>
    <row r="13" spans="1:8" ht="25.5" x14ac:dyDescent="0.2">
      <c r="A13" s="543" t="s">
        <v>455</v>
      </c>
      <c r="B13" s="364"/>
      <c r="C13" s="364"/>
      <c r="D13" s="364"/>
      <c r="E13" s="238"/>
      <c r="F13" s="547"/>
      <c r="G13" s="556">
        <v>2816400</v>
      </c>
      <c r="H13" s="208">
        <v>2815649</v>
      </c>
    </row>
    <row r="14" spans="1:8" x14ac:dyDescent="0.2">
      <c r="A14" s="543" t="s">
        <v>357</v>
      </c>
      <c r="B14" s="206">
        <v>240000</v>
      </c>
      <c r="C14" s="206">
        <v>1637579</v>
      </c>
      <c r="D14" s="206">
        <v>1637579</v>
      </c>
      <c r="E14" s="371" t="s">
        <v>381</v>
      </c>
      <c r="F14" s="547">
        <v>2859900</v>
      </c>
      <c r="G14" s="556">
        <v>3269900</v>
      </c>
      <c r="H14" s="208">
        <v>3268953</v>
      </c>
    </row>
    <row r="15" spans="1:8" ht="26.25" customHeight="1" x14ac:dyDescent="0.2">
      <c r="A15" s="544" t="s">
        <v>170</v>
      </c>
      <c r="B15" s="364">
        <f>'2'!B51</f>
        <v>24824052</v>
      </c>
      <c r="C15" s="364">
        <v>25210085</v>
      </c>
      <c r="D15" s="364">
        <v>27778703</v>
      </c>
      <c r="E15" s="371" t="s">
        <v>382</v>
      </c>
      <c r="F15" s="547">
        <v>190000</v>
      </c>
      <c r="G15" s="556">
        <v>4589500</v>
      </c>
      <c r="H15" s="208">
        <v>4588900</v>
      </c>
    </row>
    <row r="16" spans="1:8" ht="13.5" customHeight="1" x14ac:dyDescent="0.2">
      <c r="A16" s="238"/>
      <c r="B16" s="206"/>
      <c r="C16" s="206"/>
      <c r="D16" s="206"/>
      <c r="E16" s="238" t="s">
        <v>171</v>
      </c>
      <c r="F16" s="547">
        <v>4415143</v>
      </c>
      <c r="G16" s="556">
        <v>3913086</v>
      </c>
      <c r="H16" s="208">
        <v>0</v>
      </c>
    </row>
    <row r="17" spans="1:8" ht="13.5" customHeight="1" x14ac:dyDescent="0.2">
      <c r="A17" s="535"/>
      <c r="B17" s="536"/>
      <c r="C17" s="536"/>
      <c r="D17" s="536"/>
      <c r="E17" s="548" t="s">
        <v>442</v>
      </c>
      <c r="F17" s="549">
        <v>2432107</v>
      </c>
      <c r="G17" s="557">
        <v>2588931</v>
      </c>
      <c r="H17" s="537">
        <v>2588931</v>
      </c>
    </row>
    <row r="18" spans="1:8" ht="26.25" customHeight="1" x14ac:dyDescent="0.2">
      <c r="A18" s="235" t="s">
        <v>172</v>
      </c>
      <c r="B18" s="204">
        <f>SUM(B9:B15)</f>
        <v>115915812</v>
      </c>
      <c r="C18" s="204">
        <f>SUM(C9:C15)</f>
        <v>131222069</v>
      </c>
      <c r="D18" s="204">
        <f>SUM(D9:D15)</f>
        <v>132906510</v>
      </c>
      <c r="E18" s="550" t="s">
        <v>173</v>
      </c>
      <c r="F18" s="551">
        <f>SUM(F9:F17)</f>
        <v>107313664</v>
      </c>
      <c r="G18" s="558">
        <f>SUM(G9:G17)</f>
        <v>114903905</v>
      </c>
      <c r="H18" s="240">
        <f>SUM(H9:H17)</f>
        <v>108445194</v>
      </c>
    </row>
    <row r="19" spans="1:8" x14ac:dyDescent="0.2">
      <c r="A19" s="236"/>
      <c r="B19" s="205"/>
      <c r="C19" s="205"/>
      <c r="D19" s="205"/>
      <c r="E19" s="236"/>
      <c r="F19" s="552"/>
      <c r="G19" s="559"/>
      <c r="H19" s="241"/>
    </row>
    <row r="20" spans="1:8" x14ac:dyDescent="0.2">
      <c r="A20" s="238" t="s">
        <v>174</v>
      </c>
      <c r="B20" s="364">
        <v>9017336</v>
      </c>
      <c r="C20" s="364">
        <v>24049130</v>
      </c>
      <c r="D20" s="364">
        <v>24253460</v>
      </c>
      <c r="E20" s="371" t="s">
        <v>194</v>
      </c>
      <c r="F20" s="547">
        <f>'4'!G21</f>
        <v>17619484</v>
      </c>
      <c r="G20" s="556">
        <v>40367294</v>
      </c>
      <c r="H20" s="208">
        <v>39930958</v>
      </c>
    </row>
    <row r="21" spans="1:8" ht="27" customHeight="1" x14ac:dyDescent="0.2">
      <c r="A21" s="544" t="s">
        <v>175</v>
      </c>
      <c r="B21" s="206"/>
      <c r="C21" s="206"/>
      <c r="D21" s="206"/>
      <c r="E21" s="371" t="s">
        <v>37</v>
      </c>
      <c r="F21" s="547">
        <v>0</v>
      </c>
      <c r="G21" s="556">
        <v>0</v>
      </c>
      <c r="H21" s="208">
        <v>0</v>
      </c>
    </row>
    <row r="22" spans="1:8" x14ac:dyDescent="0.2">
      <c r="A22" s="544" t="s">
        <v>176</v>
      </c>
      <c r="B22" s="206"/>
      <c r="C22" s="206"/>
      <c r="D22" s="206"/>
      <c r="E22" s="238"/>
      <c r="F22" s="547"/>
      <c r="G22" s="556"/>
      <c r="H22" s="208"/>
    </row>
    <row r="23" spans="1:8" ht="25.5" x14ac:dyDescent="0.2">
      <c r="A23" s="544" t="s">
        <v>177</v>
      </c>
      <c r="B23" s="364">
        <f>'2'!B53</f>
        <v>0</v>
      </c>
      <c r="C23" s="364"/>
      <c r="D23" s="364"/>
      <c r="E23" s="238"/>
      <c r="F23" s="547"/>
      <c r="G23" s="556"/>
      <c r="H23" s="208"/>
    </row>
    <row r="24" spans="1:8" ht="26.25" thickBot="1" x14ac:dyDescent="0.25">
      <c r="A24" s="235" t="s">
        <v>178</v>
      </c>
      <c r="B24" s="204">
        <f>SUM(B20:B23)</f>
        <v>9017336</v>
      </c>
      <c r="C24" s="204">
        <f>SUM(C20:C23)</f>
        <v>24049130</v>
      </c>
      <c r="D24" s="204">
        <f>SUM(D20:D23)</f>
        <v>24253460</v>
      </c>
      <c r="E24" s="550" t="s">
        <v>179</v>
      </c>
      <c r="F24" s="551">
        <f>SUM(F20:F23)</f>
        <v>17619484</v>
      </c>
      <c r="G24" s="558">
        <f>SUM(G20:G23)</f>
        <v>40367294</v>
      </c>
      <c r="H24" s="240">
        <f>SUM(H20:H23)</f>
        <v>39930958</v>
      </c>
    </row>
    <row r="25" spans="1:8" ht="13.5" thickBot="1" x14ac:dyDescent="0.25">
      <c r="A25" s="381" t="s">
        <v>127</v>
      </c>
      <c r="B25" s="382">
        <f>B18+B24</f>
        <v>124933148</v>
      </c>
      <c r="C25" s="382">
        <f>C18+C24</f>
        <v>155271199</v>
      </c>
      <c r="D25" s="382">
        <f>D18+D24</f>
        <v>157159970</v>
      </c>
      <c r="E25" s="381" t="s">
        <v>127</v>
      </c>
      <c r="F25" s="553">
        <f>F18+F24</f>
        <v>124933148</v>
      </c>
      <c r="G25" s="542">
        <f>G18+G24</f>
        <v>155271199</v>
      </c>
      <c r="H25" s="383">
        <f>H18+H24</f>
        <v>148376152</v>
      </c>
    </row>
    <row r="26" spans="1:8" x14ac:dyDescent="0.2">
      <c r="A26" s="207"/>
      <c r="B26" s="207"/>
      <c r="C26" s="207"/>
      <c r="D26" s="207"/>
      <c r="E26" s="207"/>
      <c r="F26" s="207"/>
    </row>
    <row r="27" spans="1:8" x14ac:dyDescent="0.2">
      <c r="A27" s="207"/>
      <c r="B27" s="207"/>
      <c r="C27" s="207"/>
      <c r="D27" s="207"/>
      <c r="E27" s="207"/>
      <c r="F27" s="207"/>
    </row>
  </sheetData>
  <mergeCells count="4">
    <mergeCell ref="A6:B6"/>
    <mergeCell ref="E6:H6"/>
    <mergeCell ref="A1:H1"/>
    <mergeCell ref="A4:H4"/>
  </mergeCells>
  <phoneticPr fontId="22" type="noConversion"/>
  <pageMargins left="0.75" right="0.75" top="1" bottom="1" header="0.5" footer="0.5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14</vt:i4>
      </vt:variant>
    </vt:vector>
  </HeadingPairs>
  <TitlesOfParts>
    <vt:vector size="40" baseType="lpstr">
      <vt:lpstr>1</vt:lpstr>
      <vt:lpstr>2</vt:lpstr>
      <vt:lpstr>2a</vt:lpstr>
      <vt:lpstr>2b</vt:lpstr>
      <vt:lpstr>3</vt:lpstr>
      <vt:lpstr>4</vt:lpstr>
      <vt:lpstr>4önk</vt:lpstr>
      <vt:lpstr>4ovi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21</vt:lpstr>
      <vt:lpstr>20</vt:lpstr>
      <vt:lpstr>22</vt:lpstr>
      <vt:lpstr>'10'!Nyomtatási_cím</vt:lpstr>
      <vt:lpstr>'2a'!Nyomtatási_cím</vt:lpstr>
      <vt:lpstr>'10'!Nyomtatási_terület</vt:lpstr>
      <vt:lpstr>'13'!Nyomtatási_terület</vt:lpstr>
      <vt:lpstr>'2'!Nyomtatási_terület</vt:lpstr>
      <vt:lpstr>'2a'!Nyomtatási_terület</vt:lpstr>
      <vt:lpstr>'2b'!Nyomtatási_terület</vt:lpstr>
      <vt:lpstr>'4'!Nyomtatási_terület</vt:lpstr>
      <vt:lpstr>'4ovi'!Nyomtatási_terület</vt:lpstr>
      <vt:lpstr>'4önk'!Nyomtatási_terület</vt:lpstr>
      <vt:lpstr>'5'!Nyomtatási_terület</vt:lpstr>
      <vt:lpstr>'6'!Nyomtatási_terület</vt:lpstr>
      <vt:lpstr>'7'!Nyomtatási_terület</vt:lpstr>
      <vt:lpstr>'8'!Nyomtatási_terület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user</cp:lastModifiedBy>
  <cp:lastPrinted>2020-06-09T11:01:04Z</cp:lastPrinted>
  <dcterms:created xsi:type="dcterms:W3CDTF">2005-12-27T13:42:28Z</dcterms:created>
  <dcterms:modified xsi:type="dcterms:W3CDTF">2020-06-09T12:36:00Z</dcterms:modified>
</cp:coreProperties>
</file>