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99" firstSheet="16" activeTab="20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Beruházás" sheetId="7" r:id="rId7"/>
    <sheet name="5.4. Lakásalap" sheetId="8" r:id="rId8"/>
    <sheet name="5.5. Kertség" sheetId="9" r:id="rId9"/>
    <sheet name="5.6. Egészségügyi" sheetId="10" r:id="rId10"/>
    <sheet name="5.7. Népjólét" sheetId="11" r:id="rId11"/>
    <sheet name="5.8. Sportfeladatok" sheetId="12" r:id="rId12"/>
    <sheet name="5.9. Szoc" sheetId="13" r:id="rId13"/>
    <sheet name="5.10. Közművelődés" sheetId="14" r:id="rId14"/>
    <sheet name="5.11. Támogatások" sheetId="15" r:id="rId15"/>
    <sheet name="5.12. Egyéb kiadások" sheetId="16" r:id="rId16"/>
    <sheet name="5.13. Városmarketing" sheetId="17" r:id="rId17"/>
    <sheet name="5.14. Nemzetközi pályázatok" sheetId="18" r:id="rId18"/>
    <sheet name="5.15. Vagyon" sheetId="19" r:id="rId19"/>
    <sheet name="5.16. Nemzetiség" sheetId="20" r:id="rId20"/>
    <sheet name="5.17. Céltartalék" sheetId="21" r:id="rId21"/>
  </sheets>
  <definedNames>
    <definedName name="Excel_BuiltIn_Print_Area" localSheetId="0">'5. melléklet'!$A:$U</definedName>
    <definedName name="Excel_BuiltIn_Print_Area" localSheetId="2">'5.1 D'!$A$1:$N$15</definedName>
    <definedName name="Excel_BuiltIn_Print_Area" localSheetId="3">'5.1 FT, MT'!$A:$X</definedName>
    <definedName name="Excel_BuiltIn_Print_Area" localSheetId="1">'5.1. Adósság'!$A$1:$Q$24</definedName>
    <definedName name="Excel_BuiltIn_Print_Area" localSheetId="13">'5.10. Közművelődés'!$A$1:$M$46</definedName>
    <definedName name="Excel_BuiltIn_Print_Area" localSheetId="14">'5.11. Támogatások'!$A$1:$M$46</definedName>
    <definedName name="Excel_BuiltIn_Print_Area" localSheetId="15">'5.12. Egyéb kiadások'!$A$1:$L$38</definedName>
    <definedName name="Excel_BuiltIn_Print_Area" localSheetId="16">'5.13. Városmarketing'!$A:$U</definedName>
    <definedName name="Excel_BuiltIn_Print_Area" localSheetId="17">'5.14. Nemzetközi pályázatok'!$A$1:$L$25</definedName>
    <definedName name="Excel_BuiltIn_Print_Area" localSheetId="18">'5.15. Vagyon'!$A:$U</definedName>
    <definedName name="Excel_BuiltIn_Print_Area" localSheetId="19">'5.16. Nemzetiség'!$A$1:$L$20</definedName>
    <definedName name="Excel_BuiltIn_Print_Area" localSheetId="20">'5.17. Céltartalék'!$A:$U</definedName>
    <definedName name="Excel_BuiltIn_Print_Area" localSheetId="5">'5.2.Városüzem'!$A$1:$L$62</definedName>
    <definedName name="Excel_BuiltIn_Print_Area" localSheetId="6">'5.3. Beruházás'!$A:$U</definedName>
    <definedName name="Excel_BuiltIn_Print_Area" localSheetId="7">'5.4. Lakásalap'!$A$1:$L$20</definedName>
    <definedName name="Excel_BuiltIn_Print_Area" localSheetId="8">'5.5. Kertség'!$A$1:$M$34</definedName>
    <definedName name="Excel_BuiltIn_Print_Area" localSheetId="9">'5.6. Egészségügyi'!$A$1:$L$19</definedName>
    <definedName name="Excel_BuiltIn_Print_Area" localSheetId="10">'5.7. Népjólét'!$A:$U</definedName>
    <definedName name="Excel_BuiltIn_Print_Area" localSheetId="11">'5.8. Sportfeladatok'!$A$1:$L$21</definedName>
    <definedName name="Excel_BuiltIn_Print_Area" localSheetId="12">'5.9. Szoc'!$A:$V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5">(#REF!,#REF!)</definedName>
    <definedName name="Excel_BuiltIn_Print_Titles_5_1_1" localSheetId="6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melléklet'!$A$1:$U$118</definedName>
    <definedName name="_xlnm.Print_Area" localSheetId="4">'5.1 Évenként'!$A$1:$AE$18</definedName>
    <definedName name="_xlnm.Print_Area" localSheetId="1">'5.1. Adósság'!$A$1:$Y$24</definedName>
  </definedNames>
  <calcPr fullCalcOnLoad="1"/>
</workbook>
</file>

<file path=xl/sharedStrings.xml><?xml version="1.0" encoding="utf-8"?>
<sst xmlns="http://schemas.openxmlformats.org/spreadsheetml/2006/main" count="2403" uniqueCount="1150">
  <si>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</si>
  <si>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</si>
  <si>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</si>
  <si>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</si>
  <si>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</si>
  <si>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</si>
  <si>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</si>
  <si>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</si>
  <si>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</si>
  <si>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</si>
  <si>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</si>
  <si>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</si>
  <si>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</si>
  <si>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</si>
  <si>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</si>
  <si>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Feladatcsoport</t>
  </si>
  <si>
    <t>Előirányzat megnevezése</t>
  </si>
  <si>
    <t>2016. évi eredeti előirányzat összege</t>
  </si>
  <si>
    <t>Eredeti előirányzat</t>
  </si>
  <si>
    <t>2016. évi módosított előirányzat összege</t>
  </si>
  <si>
    <t>Módosított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</si>
  <si>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</si>
  <si>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</si>
  <si>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</si>
  <si>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</si>
  <si>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</si>
  <si>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</si>
  <si>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</si>
  <si>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</si>
  <si>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</si>
  <si>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</si>
  <si>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</si>
  <si>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</si>
  <si>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</si>
  <si>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</si>
  <si>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</si>
  <si>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</si>
  <si>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</si>
  <si>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</si>
  <si>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</si>
  <si>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</si>
  <si>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</si>
  <si>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</si>
  <si>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</si>
  <si>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</si>
  <si>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</si>
  <si>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</si>
  <si>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</si>
  <si>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</si>
  <si>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Beruházási kiadások összesen</t>
  </si>
  <si>
    <t>4.1</t>
  </si>
  <si>
    <t>4.2</t>
  </si>
  <si>
    <t>4.3</t>
  </si>
  <si>
    <t>5.</t>
  </si>
  <si>
    <t>Önkormányzati tulajdonú lakóingatlanokkal kapcsolatos kiadások összesen</t>
  </si>
  <si>
    <t>5.1</t>
  </si>
  <si>
    <t>5.2</t>
  </si>
  <si>
    <t>5.3</t>
  </si>
  <si>
    <t>6.</t>
  </si>
  <si>
    <t>Városrendezési tervek kiadásai összesen</t>
  </si>
  <si>
    <t>6.1</t>
  </si>
  <si>
    <t>6.2</t>
  </si>
  <si>
    <t>6.3</t>
  </si>
  <si>
    <t>7.</t>
  </si>
  <si>
    <t>Kertségi fejlesztési program összesen</t>
  </si>
  <si>
    <t>7.1</t>
  </si>
  <si>
    <t>7.2</t>
  </si>
  <si>
    <t>7.3</t>
  </si>
  <si>
    <t>8.</t>
  </si>
  <si>
    <t>Köznevelési feladatok  összesen</t>
  </si>
  <si>
    <t>8.1</t>
  </si>
  <si>
    <t>8.2</t>
  </si>
  <si>
    <t>8.3</t>
  </si>
  <si>
    <t>9.</t>
  </si>
  <si>
    <t>Egészségügyi feladatok összesen</t>
  </si>
  <si>
    <t>9.1</t>
  </si>
  <si>
    <t>9.2</t>
  </si>
  <si>
    <t>9.3</t>
  </si>
  <si>
    <t>10.</t>
  </si>
  <si>
    <t>Népjóléti feladatok összesen</t>
  </si>
  <si>
    <t>10.1</t>
  </si>
  <si>
    <t>10.2</t>
  </si>
  <si>
    <t>10.3</t>
  </si>
  <si>
    <t>11.</t>
  </si>
  <si>
    <t>Sportfeladatok és kiemelt sportrendezvények összesen</t>
  </si>
  <si>
    <t>11.1</t>
  </si>
  <si>
    <t>11.2</t>
  </si>
  <si>
    <t>11.3</t>
  </si>
  <si>
    <t>12.</t>
  </si>
  <si>
    <t>Önkormányzat által folyósított ellátások összesen</t>
  </si>
  <si>
    <t>12.1</t>
  </si>
  <si>
    <t>12.2</t>
  </si>
  <si>
    <t>12.3</t>
  </si>
  <si>
    <t>13.</t>
  </si>
  <si>
    <t>Közfoglalkoztatás összesen</t>
  </si>
  <si>
    <t>13.1</t>
  </si>
  <si>
    <t>13.2</t>
  </si>
  <si>
    <t>13.3</t>
  </si>
  <si>
    <t>14.</t>
  </si>
  <si>
    <t>Közművelődési feladatok összesen</t>
  </si>
  <si>
    <t>14.1</t>
  </si>
  <si>
    <t>14.2</t>
  </si>
  <si>
    <t>14.3</t>
  </si>
  <si>
    <t>15.</t>
  </si>
  <si>
    <t>Támogatások összesen</t>
  </si>
  <si>
    <t>15.1</t>
  </si>
  <si>
    <t>15.2</t>
  </si>
  <si>
    <t>15.3</t>
  </si>
  <si>
    <t>16.</t>
  </si>
  <si>
    <t>Környezetvédelmi Alap összesen</t>
  </si>
  <si>
    <t>16.1</t>
  </si>
  <si>
    <t>16.2</t>
  </si>
  <si>
    <t>16.3</t>
  </si>
  <si>
    <t>17.</t>
  </si>
  <si>
    <t>Civil, Kulturális és Ifjúsági "Alap" összesen</t>
  </si>
  <si>
    <t>17.1</t>
  </si>
  <si>
    <t>17.2</t>
  </si>
  <si>
    <t>17.3</t>
  </si>
  <si>
    <t>18.</t>
  </si>
  <si>
    <t>Turisztikai "Alap" összesen</t>
  </si>
  <si>
    <t>18.1</t>
  </si>
  <si>
    <t>18.2</t>
  </si>
  <si>
    <t>18.3</t>
  </si>
  <si>
    <t>19.</t>
  </si>
  <si>
    <t>Gazdaságfejlesztési "Alap" összesen</t>
  </si>
  <si>
    <t>19.1</t>
  </si>
  <si>
    <t>19.2</t>
  </si>
  <si>
    <t>19.3</t>
  </si>
  <si>
    <t>20.</t>
  </si>
  <si>
    <t>Egyéb kiadások összesen</t>
  </si>
  <si>
    <t>20.1</t>
  </si>
  <si>
    <t>20.2</t>
  </si>
  <si>
    <t>20.3</t>
  </si>
  <si>
    <t>21.</t>
  </si>
  <si>
    <t>Városmarketing feladatok összesen</t>
  </si>
  <si>
    <t>21.1</t>
  </si>
  <si>
    <t>21.2</t>
  </si>
  <si>
    <t>21.3</t>
  </si>
  <si>
    <t>22.</t>
  </si>
  <si>
    <t>Nemzetközi és hazai támogatású pályázatok összesen</t>
  </si>
  <si>
    <t>22.1</t>
  </si>
  <si>
    <t>22.2</t>
  </si>
  <si>
    <t>22.3</t>
  </si>
  <si>
    <t>23.</t>
  </si>
  <si>
    <t>Vagyongazdálkodási feladatok összesen</t>
  </si>
  <si>
    <t>23.1</t>
  </si>
  <si>
    <t>23.2</t>
  </si>
  <si>
    <t>23.3</t>
  </si>
  <si>
    <t>24.</t>
  </si>
  <si>
    <t>Nemzetiségi Önkormányzatok működési támogatásai összesen</t>
  </si>
  <si>
    <t>24.1</t>
  </si>
  <si>
    <t>24.2</t>
  </si>
  <si>
    <t>24.3</t>
  </si>
  <si>
    <t>25.</t>
  </si>
  <si>
    <t>Általános tartalék összesen</t>
  </si>
  <si>
    <t>25.1</t>
  </si>
  <si>
    <t>25.2</t>
  </si>
  <si>
    <t>25.3</t>
  </si>
  <si>
    <t>26.</t>
  </si>
  <si>
    <t>Céltartalék összesen</t>
  </si>
  <si>
    <t>26.1</t>
  </si>
  <si>
    <t>26.2</t>
  </si>
  <si>
    <t>26.3</t>
  </si>
  <si>
    <t>MINDÖSSZESEN</t>
  </si>
  <si>
    <t>Kötelező feladat összesen</t>
  </si>
  <si>
    <t>Önként vállalt feladat összesen</t>
  </si>
  <si>
    <t>Állami (államigazgatási) feladat összesen</t>
  </si>
  <si>
    <t>Képviselők (</t>
  </si>
  <si>
    <t>Könyvelés</t>
  </si>
  <si>
    <t xml:space="preserve"> hóval rendezve)</t>
  </si>
  <si>
    <t>(1. oldal)</t>
  </si>
  <si>
    <t>Adósságszolgálat</t>
  </si>
  <si>
    <t>(5. melléklet 1. cím részletezése)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</si>
  <si>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</si>
  <si>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</si>
  <si>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</si>
  <si>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</si>
  <si>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</si>
  <si>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</si>
  <si>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</si>
  <si>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</si>
  <si>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</si>
  <si>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</si>
  <si>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</si>
  <si>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</si>
  <si>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</si>
  <si>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</si>
  <si>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</si>
  <si>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</si>
  <si>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</si>
  <si>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</si>
  <si>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</si>
  <si>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</si>
  <si>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Felvételkori árfolyam</t>
  </si>
  <si>
    <t>Tőketörlesztés 2016. évben *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</si>
  <si>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</si>
  <si>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</si>
  <si>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</si>
  <si>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</si>
  <si>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</si>
  <si>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</si>
  <si>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</si>
  <si>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</si>
  <si>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</si>
  <si>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1.1.1</t>
  </si>
  <si>
    <t>ONK-0346/2006/M2. sz. szerződés</t>
  </si>
  <si>
    <t>Erste Bank Hungary Zrt.</t>
  </si>
  <si>
    <t>HUF</t>
  </si>
  <si>
    <t>1.1.2</t>
  </si>
  <si>
    <t>1 mrd Ft hitel felvétel</t>
  </si>
  <si>
    <t>2016.</t>
  </si>
  <si>
    <t>Rövid lejáratú hitelek</t>
  </si>
  <si>
    <t>1.2.1</t>
  </si>
  <si>
    <t>Folyószámla hitel</t>
  </si>
  <si>
    <t>OTP Bank Nyrt.</t>
  </si>
  <si>
    <t>Készfizető kezességvállalások:</t>
  </si>
  <si>
    <t>1.3.1</t>
  </si>
  <si>
    <t xml:space="preserve"> Készfizető kezességvállalás 284/2006. (XII.14.) Kh. (Db. Jégcsarnok Nonprofit Kft.)</t>
  </si>
  <si>
    <t>CHF</t>
  </si>
  <si>
    <t>1.3.2</t>
  </si>
  <si>
    <t>MSE Klaszer Kft. 160/2014. (VII.10.) Kgy. Határozat</t>
  </si>
  <si>
    <t>1.4</t>
  </si>
  <si>
    <t>Támogatási megállapodások:</t>
  </si>
  <si>
    <t>1.4.1</t>
  </si>
  <si>
    <t>Támogatás kamatfizetésre 245/2007. (XI.22.) Ö.h. alapján (Db. Jégcsarnok Nonprofit Kht.)</t>
  </si>
  <si>
    <t>1.4.2</t>
  </si>
  <si>
    <t xml:space="preserve"> Készfizető kezességvállalás 160/2014. (VII.10.) Kh. (MSE Klaszer Kft.)</t>
  </si>
  <si>
    <t>Mindösszesen:</t>
  </si>
  <si>
    <t>Betölti a következőkből!</t>
  </si>
  <si>
    <t>(2. oldal)</t>
  </si>
  <si>
    <t>Dologi kiemelt előirányzat részletezése</t>
  </si>
  <si>
    <t>Tőketörlesztés</t>
  </si>
  <si>
    <t>Kamatfizetés</t>
  </si>
  <si>
    <t>Egyéb költségek</t>
  </si>
  <si>
    <t>1.1.</t>
  </si>
  <si>
    <t>1.2.</t>
  </si>
  <si>
    <t>1.2.1.</t>
  </si>
  <si>
    <t>(3. oldal)</t>
  </si>
  <si>
    <t>Egyéb felhalmozási célú kiadások kiemelt előirányzata</t>
  </si>
  <si>
    <t xml:space="preserve">Kezességvállalás tőketörlesztése 2016. évben </t>
  </si>
  <si>
    <t>Egyéb működési célú kiadások előirányzata</t>
  </si>
  <si>
    <t>Támogatás kamatfizetésre 245/2007. (XI.22.) Ö.h. alapján (Db. Jégcsarnok Nonprofit Kft..)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</si>
  <si>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</si>
  <si>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</si>
  <si>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</si>
  <si>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</si>
  <si>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</si>
  <si>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</si>
  <si>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</si>
  <si>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</si>
  <si>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Hitelintézet
neve</t>
  </si>
  <si>
    <t>tőke</t>
  </si>
  <si>
    <t>kamat</t>
  </si>
  <si>
    <t>összesen</t>
  </si>
  <si>
    <t>1.1. Hosszú lejáratú hitelek</t>
  </si>
  <si>
    <t>ONK-0346/2006/M2. sz. szerződés Víziközmű</t>
  </si>
  <si>
    <t>1 mrd Ft hitel felvétele</t>
  </si>
  <si>
    <t>1.2. Rövid lejáratú hitelek</t>
  </si>
  <si>
    <t xml:space="preserve">folyószámla hitel </t>
  </si>
  <si>
    <t>1.3. Készfizető kezességvállalások:</t>
  </si>
  <si>
    <t xml:space="preserve"> Készfizető kezességvállalás 284/2006. (XII.14.) Kh. (Db. Jégcsarnok Kht.)</t>
  </si>
  <si>
    <t>EUR</t>
  </si>
  <si>
    <t>160/2014. (VII.10.) Kh. MSE klaszter Kft</t>
  </si>
  <si>
    <t>Összesen:</t>
  </si>
  <si>
    <t>Városüzemeltetési kiadások</t>
  </si>
  <si>
    <t>(5. melléklet 3.cím részletezése)</t>
  </si>
  <si>
    <t>2016. évi módosított összege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</si>
  <si>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</si>
  <si>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</si>
  <si>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</si>
  <si>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</si>
  <si>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</si>
  <si>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hibaelhárítási munkák és sérült, eltulajdonított aknafedlapok, víznyelőrácsok pótlása</t>
  </si>
  <si>
    <t>3.1.4</t>
  </si>
  <si>
    <t>Tócó élővízfolyás karbantartása</t>
  </si>
  <si>
    <t>3.1.5</t>
  </si>
  <si>
    <t>Átereszek átépítése, kialakítása</t>
  </si>
  <si>
    <t>3.1.6</t>
  </si>
  <si>
    <t>Csapadékvíz átemelők üzemeltetése</t>
  </si>
  <si>
    <t>3.1.7</t>
  </si>
  <si>
    <t>Belvízvédekezés</t>
  </si>
  <si>
    <t>3.1.8</t>
  </si>
  <si>
    <t>Közvilágítás üzemeltetése</t>
  </si>
  <si>
    <t>3.1.9</t>
  </si>
  <si>
    <t>Közhasznú zöldterületek fenntartása</t>
  </si>
  <si>
    <t>3.1.10</t>
  </si>
  <si>
    <t>Növényvédelem</t>
  </si>
  <si>
    <t>3.1.11</t>
  </si>
  <si>
    <t>Játszóterek karbantartása, játszótér üzemeltetés</t>
  </si>
  <si>
    <t>3.1.12</t>
  </si>
  <si>
    <t>Gépi-, kézi úttisztítás és utcai szemétszállítás</t>
  </si>
  <si>
    <t>3.1.13</t>
  </si>
  <si>
    <t>Hóeltakarítás (I. és IV. negyedév)</t>
  </si>
  <si>
    <t>3.1.14</t>
  </si>
  <si>
    <t>Illegális szemétlerakók megszüntetése</t>
  </si>
  <si>
    <t>3.1.15</t>
  </si>
  <si>
    <t>Útburkolat karbantartás, javítás</t>
  </si>
  <si>
    <t>3.1.16</t>
  </si>
  <si>
    <t>Járdaburkolat javítása</t>
  </si>
  <si>
    <t>3.1.17</t>
  </si>
  <si>
    <t>Jelzőtáblák pótlása, kihelyezése</t>
  </si>
  <si>
    <t>3.1.18</t>
  </si>
  <si>
    <t>Útburkolati jelek felfestése</t>
  </si>
  <si>
    <t>3.1.19</t>
  </si>
  <si>
    <t xml:space="preserve">Közúti jelzőlámpa üzemeltetése, karbantartása </t>
  </si>
  <si>
    <t>3.1.20</t>
  </si>
  <si>
    <t>Közös üzemeltetési díj (MK Np. Zrt.-önkormányzati csomópont)</t>
  </si>
  <si>
    <t>3.1.21</t>
  </si>
  <si>
    <t>Temetők és emlékművek fenntartása</t>
  </si>
  <si>
    <t>3.1.22</t>
  </si>
  <si>
    <t>Patkánymentesítés</t>
  </si>
  <si>
    <t>3.1.23</t>
  </si>
  <si>
    <t>Közkutak üzemeltetése, közüzemi díjak</t>
  </si>
  <si>
    <t>3.1.24</t>
  </si>
  <si>
    <t>Erdőterületek fenntartása, gallyazás, növénytelepítés</t>
  </si>
  <si>
    <t xml:space="preserve"> </t>
  </si>
  <si>
    <t>3.1.25</t>
  </si>
  <si>
    <t>Műtárgyak javítása, fenntartása</t>
  </si>
  <si>
    <t>3.1.26</t>
  </si>
  <si>
    <t>Fizető várakozóhelyek bevétel kiesésének kompenzálása</t>
  </si>
  <si>
    <t>3.1.27</t>
  </si>
  <si>
    <t>Utcanévtáblázás</t>
  </si>
  <si>
    <t>3.1.28</t>
  </si>
  <si>
    <t>Közterületi rendszerek üzemeltetése, köztéri szökőkutak gépészeti felújítása</t>
  </si>
  <si>
    <t>3.1.29</t>
  </si>
  <si>
    <t>Kijelölt közérdekű közszolgáltatás támogatása</t>
  </si>
  <si>
    <t>3.1.30</t>
  </si>
  <si>
    <t>DHK kompenzáció</t>
  </si>
  <si>
    <t>3.2.1</t>
  </si>
  <si>
    <t xml:space="preserve">Intézményi lámpatestek bérleti díja </t>
  </si>
  <si>
    <t>3.2.2</t>
  </si>
  <si>
    <t>Fedett utasvárók javítása</t>
  </si>
  <si>
    <t>3.2.3</t>
  </si>
  <si>
    <t>Lakott külterületek közlekedési költségei</t>
  </si>
  <si>
    <t>3.2.4</t>
  </si>
  <si>
    <t>Szúnyogirtás</t>
  </si>
  <si>
    <t>3.2.5</t>
  </si>
  <si>
    <t>Közterületen okozott károk helyreállítása</t>
  </si>
  <si>
    <t>3.2.6</t>
  </si>
  <si>
    <t>Előre nem tervezett parkfenntartási és rendezvényi feladatok</t>
  </si>
  <si>
    <t>3.2.7</t>
  </si>
  <si>
    <t>Tiszta Virágos Debrecenért</t>
  </si>
  <si>
    <t>3.2.8</t>
  </si>
  <si>
    <t>Tervezési feladatok</t>
  </si>
  <si>
    <t>3.2.9</t>
  </si>
  <si>
    <t>Kártérítések, megbízások, ügyvédi díjak</t>
  </si>
  <si>
    <t>3.2.10</t>
  </si>
  <si>
    <t>Egyéb kommunális szolgáltatás</t>
  </si>
  <si>
    <t>3.2.11</t>
  </si>
  <si>
    <t>Koncepcionális terv/felülvizsgálati terv készítése DMJV csapadékvíz-elvezetésére</t>
  </si>
  <si>
    <t>3.2.12</t>
  </si>
  <si>
    <t>Fasorrekonstrukció</t>
  </si>
  <si>
    <t>3.2.13</t>
  </si>
  <si>
    <t>Tócóvölgyi nyárfa állomány rekonstrukciója II. ütem</t>
  </si>
  <si>
    <t>3.2.14</t>
  </si>
  <si>
    <t>Buszöblök és peronok javítása</t>
  </si>
  <si>
    <t>3.2.15</t>
  </si>
  <si>
    <t>Új kijelölt gyalogátkelőhelyek kialakítása</t>
  </si>
  <si>
    <t>3.2.16</t>
  </si>
  <si>
    <t>Meglevő kijelölt gyalogátkelőhelyek megvilágításának felülvizsgálata</t>
  </si>
  <si>
    <t>3.2.17</t>
  </si>
  <si>
    <t>Kerékpár tárolók kihelyezése</t>
  </si>
  <si>
    <t>3.3.1</t>
  </si>
  <si>
    <t>Lakossági települési folyékony hulladék ártalmatlanítása</t>
  </si>
  <si>
    <t>Összesen</t>
  </si>
  <si>
    <t>Beruházási kiadások</t>
  </si>
  <si>
    <t>(5. melléklet 4. cím részletezése)</t>
  </si>
  <si>
    <t>4.2.1</t>
  </si>
  <si>
    <t>Pavilonok beszerzése</t>
  </si>
  <si>
    <t>4.2.2</t>
  </si>
  <si>
    <t>Parkerdő - Szabadtéri Színpad állagmegóvási munkái</t>
  </si>
  <si>
    <t>4.2.3</t>
  </si>
  <si>
    <t>Mélygarázs-Ködszínház állagmegóvási munkái</t>
  </si>
  <si>
    <t>4.2.4</t>
  </si>
  <si>
    <t>Emlékkert állagmegóvási munkái</t>
  </si>
  <si>
    <t>4.2.5</t>
  </si>
  <si>
    <t>ISPA eszközök felújítása, pótlása</t>
  </si>
  <si>
    <t>4.2.6</t>
  </si>
  <si>
    <t>MODEM épület földszinti raktárhelyiség kialakítása</t>
  </si>
  <si>
    <t>4.2.7</t>
  </si>
  <si>
    <t>Ifjúsági ház előadó terem hangszigetelési és klimatizálási beruházási munkái</t>
  </si>
  <si>
    <t>4.2.8</t>
  </si>
  <si>
    <t>Böszörményi úti buszöbölnél gyalogos átkelőhely folytatása a szervizút irányába</t>
  </si>
  <si>
    <t>4.2.9</t>
  </si>
  <si>
    <t>Nyugati kiskörút I. ütem</t>
  </si>
  <si>
    <t>4.2.10</t>
  </si>
  <si>
    <t>Nyugati kiskörút II. ütem</t>
  </si>
  <si>
    <t>4.2.11</t>
  </si>
  <si>
    <t xml:space="preserve">Nyugati kiskörút III. ütem </t>
  </si>
  <si>
    <t>4.2.12</t>
  </si>
  <si>
    <t>Környezetvédelmi hatósági kötelezések</t>
  </si>
  <si>
    <t>4.2.13</t>
  </si>
  <si>
    <t>Ady szobor elhelyezése az Ady téren</t>
  </si>
  <si>
    <t>4.2.14</t>
  </si>
  <si>
    <t xml:space="preserve">Pad installációk elhelyezése az Ady téren </t>
  </si>
  <si>
    <t>4.2.15</t>
  </si>
  <si>
    <t>1956-os emlékmű állítása</t>
  </si>
  <si>
    <t>4.2.16</t>
  </si>
  <si>
    <t>II. János Pál pápa emléktábla</t>
  </si>
  <si>
    <t>4.2.17</t>
  </si>
  <si>
    <t>Emlékkő elhelyezése a Köztemetőben</t>
  </si>
  <si>
    <t>4.2.18</t>
  </si>
  <si>
    <t>Debrecen, Hospice ház kialakítása</t>
  </si>
  <si>
    <t>4.2.19</t>
  </si>
  <si>
    <t>Józsa Sportközpont</t>
  </si>
  <si>
    <t>4.2.20</t>
  </si>
  <si>
    <t>Jerikó u. 27. Orvosi rendelő és védőnői szolgálat épülete - Lapostető felújítása</t>
  </si>
  <si>
    <t>4.2.21</t>
  </si>
  <si>
    <t>Balásházy János Gyakorló Szakközépiskola Kollégiumi épületének belső felújítási munkái saját forrás</t>
  </si>
  <si>
    <t>4.2.22</t>
  </si>
  <si>
    <t>Balásházy János Gyakorló Szakközépiskola Kollégiumi épületének belső felújítási munkái támogatott</t>
  </si>
  <si>
    <t>4.2.23</t>
  </si>
  <si>
    <t>Szabó Lőrinc u-i szennyvízcsatorna kivitelezése</t>
  </si>
  <si>
    <t>4.2.24</t>
  </si>
  <si>
    <t>Műfüves pályaépítés VI-VIII. Ütem</t>
  </si>
  <si>
    <t>4.2.25</t>
  </si>
  <si>
    <t>Benczúr Gyula utca út- és csapadékvíz építés tervezése</t>
  </si>
  <si>
    <t>4.2.26</t>
  </si>
  <si>
    <t>IKKK (Intermodális Közösségi Közlekedési Központ) támogatott költség</t>
  </si>
  <si>
    <t>4.2.27</t>
  </si>
  <si>
    <t xml:space="preserve">Debrecen déli gazdasági övezet infrastruktúrájának fejlesztése </t>
  </si>
  <si>
    <t>4.2.28</t>
  </si>
  <si>
    <t xml:space="preserve">Debreceni Innovációs Program </t>
  </si>
  <si>
    <t>4.2.29</t>
  </si>
  <si>
    <t xml:space="preserve">Piaccsarnok építése a Tócóskertben </t>
  </si>
  <si>
    <t>4.2.30</t>
  </si>
  <si>
    <t xml:space="preserve">Piaccsarnok építése a Dobozikertben </t>
  </si>
  <si>
    <t>4.2.31</t>
  </si>
  <si>
    <t xml:space="preserve">Sportmúzeum interaktív fejlesztése </t>
  </si>
  <si>
    <t>4.2.32</t>
  </si>
  <si>
    <t xml:space="preserve">Nagyerdei Kultúrpark rekonstrukciója  </t>
  </si>
  <si>
    <t>4.2.33</t>
  </si>
  <si>
    <t xml:space="preserve">Az egykori Magyar Gördülőcsapágy Művek helyén lévő gazdasági terület jobb megközelíthetőségének biztosítása </t>
  </si>
  <si>
    <t>4.2.34</t>
  </si>
  <si>
    <t xml:space="preserve">A bölcsődei ellátás feltételeinek javítása a meglévő bölcsődei intézményekben </t>
  </si>
  <si>
    <t>4.2.35</t>
  </si>
  <si>
    <t>Bölcsőde Ősz utcai tagintézmény felújítása</t>
  </si>
  <si>
    <t>4.2.36</t>
  </si>
  <si>
    <t>Bölcsőde Karácsony Gy. utcai tagintézmény felújítása</t>
  </si>
  <si>
    <t>4.2.37</t>
  </si>
  <si>
    <t>Bölcsődei eszközök beszerzése</t>
  </si>
  <si>
    <t>4.2.38</t>
  </si>
  <si>
    <t>Bartók- Babits Óvoda - Babits utcai  telephely felújítása</t>
  </si>
  <si>
    <t>4.2.39</t>
  </si>
  <si>
    <t>Bartók- Babits Óvoda - Bartók Béla úti telephely felújítása</t>
  </si>
  <si>
    <t>4.2.40</t>
  </si>
  <si>
    <t>Boldogfalva Óvoda pallagi telephely felújítása</t>
  </si>
  <si>
    <t>4.2.41</t>
  </si>
  <si>
    <t>Nagyerdei Óvoda felújítása</t>
  </si>
  <si>
    <t>4.2.42</t>
  </si>
  <si>
    <t>Mosolykert utcai Óvoda felújítása</t>
  </si>
  <si>
    <t>4.2.43</t>
  </si>
  <si>
    <t>Kerekerdő óvoda felújítása</t>
  </si>
  <si>
    <t>4.2.44</t>
  </si>
  <si>
    <t>Bölcsőde Gáborjáni Sz. K. utcai tagintézmény felújítása</t>
  </si>
  <si>
    <t>4.2.45</t>
  </si>
  <si>
    <t xml:space="preserve">A bölcsődei ellátás feltételeinek javítása új bölcsődék kialakításával Debrecenben </t>
  </si>
  <si>
    <t>4.2.46</t>
  </si>
  <si>
    <t xml:space="preserve">Óvodafejlesztés új óvoda kialakításával Debrecenben </t>
  </si>
  <si>
    <t>4.2.47</t>
  </si>
  <si>
    <t>A Vénkerti lakótelep gazdaságélénkítő környezeti megújítása</t>
  </si>
  <si>
    <t>4.2.48</t>
  </si>
  <si>
    <t xml:space="preserve">Az Újkerti lakótelep gazdaságélénkítő környezeti megújítása </t>
  </si>
  <si>
    <t>4.2.49</t>
  </si>
  <si>
    <t xml:space="preserve">A Libakert lakótelep gazdaságélénkítő környezeti megújítása </t>
  </si>
  <si>
    <t>4.2.50</t>
  </si>
  <si>
    <t xml:space="preserve">Térfigyelő rendszer kiépítése Debrecenben </t>
  </si>
  <si>
    <t>4.2.51</t>
  </si>
  <si>
    <t xml:space="preserve">A Belváros sétáló övezetének keleti és nyugati irányú kiterjesztése </t>
  </si>
  <si>
    <t>4.2.52</t>
  </si>
  <si>
    <t>Városi csomópontok korszerűsítése és  kerékpárút fejlesztés I. ütem</t>
  </si>
  <si>
    <t>4.2.53</t>
  </si>
  <si>
    <t>Városi csomópontok korszerűsítése és  kerékpárút fejlesztés II. ütem</t>
  </si>
  <si>
    <t>4.2.54</t>
  </si>
  <si>
    <t>Városi csomópontok korszerűsítése és  kerékpárút fejlesztés III. ütem</t>
  </si>
  <si>
    <t>4.2.55</t>
  </si>
  <si>
    <t xml:space="preserve">A Régi Városháza főépület rekonstrukciójának 2. üteme  </t>
  </si>
  <si>
    <t>4.2.56</t>
  </si>
  <si>
    <t xml:space="preserve">Az egykori megyei könyvtár épületének felújítása </t>
  </si>
  <si>
    <t>4.2.57</t>
  </si>
  <si>
    <t>Ady Endre Gimnázium  energetikai felújítása (Norvég Alap)</t>
  </si>
  <si>
    <t>4.2.58</t>
  </si>
  <si>
    <t>4.2.59</t>
  </si>
  <si>
    <t>4.2.60</t>
  </si>
  <si>
    <t>4.2.61</t>
  </si>
  <si>
    <t>4.2.62</t>
  </si>
  <si>
    <t>4.2.63</t>
  </si>
  <si>
    <t>Városi intézmények energetikai korszerűsítése</t>
  </si>
  <si>
    <t>4.2.64</t>
  </si>
  <si>
    <t xml:space="preserve">Debreceni Művelődési Központ és intézményeinek fejlesztése </t>
  </si>
  <si>
    <t>4.2.65</t>
  </si>
  <si>
    <t>Bajcsy-Zsilinszky u. 32. szám alatti orvosi rendelő felújítása és eszközök beszerzése</t>
  </si>
  <si>
    <t>4.2.66</t>
  </si>
  <si>
    <t xml:space="preserve">Jánosi u. 14. szám alatti orvosi rendelő felújítása és eszközök beszerzése </t>
  </si>
  <si>
    <t>4.2.67</t>
  </si>
  <si>
    <t xml:space="preserve">Szabó Pál utcai orvosi rendelő felújítása és eszközök beszerzése </t>
  </si>
  <si>
    <t>4.2.68</t>
  </si>
  <si>
    <t xml:space="preserve">Füredi út 42. szám alatti orvosi rendelő felújítása és eszközök beszerzése </t>
  </si>
  <si>
    <t>4.2.69</t>
  </si>
  <si>
    <t xml:space="preserve">Viztorony utca 11. szám alatti orvosi rendelő felújítása és eszközök beszerzése  </t>
  </si>
  <si>
    <t>4.2.70</t>
  </si>
  <si>
    <t xml:space="preserve">Szentgyörgyfalvi u. 7. szám alatti orvosi rendelő felújítása és eszközök beszerzése </t>
  </si>
  <si>
    <t>4.2.71</t>
  </si>
  <si>
    <t xml:space="preserve">Nagysándor telepi orvosi rendelő felújítása és eszközök beszerzése </t>
  </si>
  <si>
    <t>4.2.72</t>
  </si>
  <si>
    <t xml:space="preserve">Apafi utcai orvosi rendelő felújítása és eszközök beszerzése </t>
  </si>
  <si>
    <t>4.2.73</t>
  </si>
  <si>
    <t xml:space="preserve">Cegléd utcai orvosi rendelő felújítása és eszközök beszerzése </t>
  </si>
  <si>
    <t>4.2.74</t>
  </si>
  <si>
    <t xml:space="preserve">Híd utcai orvosi rendelő felújítása és eszközök beszerzése </t>
  </si>
  <si>
    <t>4.2.75</t>
  </si>
  <si>
    <t xml:space="preserve">Böszörményi úti orvosi rendelő felújítása és eszközök beszerzése </t>
  </si>
  <si>
    <t>4.2.76</t>
  </si>
  <si>
    <t>Orvosi rendelők felújítása</t>
  </si>
  <si>
    <t>4.2.77</t>
  </si>
  <si>
    <t>Szociális alapszolgáltatások fejlesztése</t>
  </si>
  <si>
    <t>4.2.78</t>
  </si>
  <si>
    <t xml:space="preserve">Gyógyhely fejlesztés </t>
  </si>
  <si>
    <t>4.2.79</t>
  </si>
  <si>
    <t>Latinovits Színház belső kialakítása</t>
  </si>
  <si>
    <t>4.2.80</t>
  </si>
  <si>
    <t>Hatósági díjak, beruházásokhoz kapcsolódó közmű számlák</t>
  </si>
  <si>
    <t>4.2.81</t>
  </si>
  <si>
    <t>Tervezés, szakértés, előkészítés</t>
  </si>
  <si>
    <t>4.2.82</t>
  </si>
  <si>
    <t xml:space="preserve">Parkerdő játszóterének bővítése </t>
  </si>
  <si>
    <t>4.2.83</t>
  </si>
  <si>
    <t>Kerekestelepi fürdő felújítása I. ütem</t>
  </si>
  <si>
    <t>4.2.84</t>
  </si>
  <si>
    <t xml:space="preserve">Salakmotor pálya rekonstrukció </t>
  </si>
  <si>
    <t>4.2.85</t>
  </si>
  <si>
    <t>Debreceni Nemzetközi Repülőtér technikai fejlesztése</t>
  </si>
  <si>
    <t>4.2.86</t>
  </si>
  <si>
    <t>Idegen nyelvű alap- és középfokú oktatási intézmény létrehozása</t>
  </si>
  <si>
    <t>4.2.87</t>
  </si>
  <si>
    <t>Eu-s pályázatokkal kapcsolatban év közben felmerülő költségek</t>
  </si>
  <si>
    <t>4.2.88</t>
  </si>
  <si>
    <t>Keleti főcsatorna és Tócó patak összekötése,  tervezése</t>
  </si>
  <si>
    <t>4.2.89</t>
  </si>
  <si>
    <t>Önkormányzati tulajdonú épületek kapcsolatban év közben felmerülő kiadások</t>
  </si>
  <si>
    <t>4.2.90</t>
  </si>
  <si>
    <t>Négyévszakos turisztikai fejlesztés</t>
  </si>
  <si>
    <t>4.2.91</t>
  </si>
  <si>
    <t>Gyermek és családvédelmi intézmények fejlesztése</t>
  </si>
  <si>
    <t>4.2.92</t>
  </si>
  <si>
    <t>Határ úti ipari park elérhetőségének javítása</t>
  </si>
  <si>
    <t>4.2.93</t>
  </si>
  <si>
    <t>Tócóskert rehabilitáció</t>
  </si>
  <si>
    <t>4.2.94</t>
  </si>
  <si>
    <t>Tócóvölgy megújítása</t>
  </si>
  <si>
    <t>4.2.95</t>
  </si>
  <si>
    <t>Bem tér rekonstrukció</t>
  </si>
  <si>
    <t>4.2.96</t>
  </si>
  <si>
    <t>Csokonai Színház felújítása tervdokumentáció készítése</t>
  </si>
  <si>
    <t>4.2.97</t>
  </si>
  <si>
    <t>Lakossági hozzájárulással megvalósuló közműépítés 25%-os állami támogatás</t>
  </si>
  <si>
    <t>4.2.98</t>
  </si>
  <si>
    <t>Hatvani István Általános Iskola energetikai felújítása (Norvég Alap)</t>
  </si>
  <si>
    <t>4.2.99</t>
  </si>
  <si>
    <t>Zenede energetikai felújítása (Norvég Alap)</t>
  </si>
  <si>
    <t>4.2.100</t>
  </si>
  <si>
    <t>IKKK (Intermodális Közösségi Közlekedési Központ) nem támogatott költség</t>
  </si>
  <si>
    <t>4.2.101</t>
  </si>
  <si>
    <t>Mobil jégpálya kialakítása</t>
  </si>
  <si>
    <t>4.2.102</t>
  </si>
  <si>
    <t>Déri Múzeum modernizálása</t>
  </si>
  <si>
    <t>4.2.103</t>
  </si>
  <si>
    <t>Komplex gyógyhelyfejlesztés közmű kiváltás</t>
  </si>
  <si>
    <t>4.2.104</t>
  </si>
  <si>
    <t>2-es villamosvonal építése nem támogatott költség</t>
  </si>
  <si>
    <t>4.2.105</t>
  </si>
  <si>
    <t>Gönczy Pál óvoda bővítése</t>
  </si>
  <si>
    <t>4.2.106</t>
  </si>
  <si>
    <t>Martonfalvi utcai óvoda felújítása</t>
  </si>
  <si>
    <t>4.2.107</t>
  </si>
  <si>
    <t>Bölcsőde Görgey utcai tagintézmény felújítása</t>
  </si>
  <si>
    <t>4.2.108</t>
  </si>
  <si>
    <t>Debrecen Déri tér melletti Zenepavilon helyreállítása</t>
  </si>
  <si>
    <t>(5. melléklet 5. cím részletezése)</t>
  </si>
  <si>
    <t>5.1.1</t>
  </si>
  <si>
    <t>Önkormányzati tulajdonú társasházi lakások után fizetendő társasházi közös költség</t>
  </si>
  <si>
    <t>5.1.2</t>
  </si>
  <si>
    <t>Panelprogram önkormányzatot terhelő önrésze</t>
  </si>
  <si>
    <t>5.1.3</t>
  </si>
  <si>
    <t>Cívis Ház Zrt. által a lakásértékesítés bevételéből levonható költség</t>
  </si>
  <si>
    <t>5.1.4</t>
  </si>
  <si>
    <t>Önkormányzati tulajdonú lakóingatlanok felújítása</t>
  </si>
  <si>
    <t>5.1.5</t>
  </si>
  <si>
    <t>Bérlakások gázvezeték és gázkészülék műszaki biztonsági felülvizsgálata</t>
  </si>
  <si>
    <t>5.1.6</t>
  </si>
  <si>
    <t>Városrehabilitáció</t>
  </si>
  <si>
    <t>5.1.7</t>
  </si>
  <si>
    <t>Tartalék</t>
  </si>
  <si>
    <t>Kertségi fejlesztési program</t>
  </si>
  <si>
    <t>(5. melléklet 7. cím részletezése)</t>
  </si>
  <si>
    <t>Jogcím</t>
  </si>
  <si>
    <t>7.2.1</t>
  </si>
  <si>
    <t>Lombgyűjtőzsák biztosítása a lakosság részére</t>
  </si>
  <si>
    <t>7.2.2</t>
  </si>
  <si>
    <t>Játszóterek és parkok fejlesztése</t>
  </si>
  <si>
    <t>7.2.3</t>
  </si>
  <si>
    <t>Útstabilizáció</t>
  </si>
  <si>
    <t>7.2.4</t>
  </si>
  <si>
    <t>Közvilágítási hálózat bővítése</t>
  </si>
  <si>
    <t>7.2.5</t>
  </si>
  <si>
    <t xml:space="preserve">Csapadékvíz elvezető csatorna építése </t>
  </si>
  <si>
    <t>7.2.6</t>
  </si>
  <si>
    <t>Városüzemeltetéshez kapcsolódó beruházási előirányzat</t>
  </si>
  <si>
    <t>7.2.7</t>
  </si>
  <si>
    <t>Debrecen-Józsa Vashámor utcai csatorna építése</t>
  </si>
  <si>
    <t>7.2.8</t>
  </si>
  <si>
    <t>Debrecen-Józsa Érsek utcai csatorna</t>
  </si>
  <si>
    <t>7.2.9</t>
  </si>
  <si>
    <t>Turisztikai célú kerékpárút fejlesztési program 1. ütem</t>
  </si>
  <si>
    <t>7.2.10</t>
  </si>
  <si>
    <t>Debrecen, keleti városrész csapadékvíz elvezetésének rendezése</t>
  </si>
  <si>
    <t>7.2.11</t>
  </si>
  <si>
    <t>Csapadékvíz elvezető rendszer kiépítése a Nagysándortelep-Vukán-telepen</t>
  </si>
  <si>
    <t>7.2.12</t>
  </si>
  <si>
    <t>Lakossági kezdeményezéssel megvalósuló út és közműépítés</t>
  </si>
  <si>
    <t>7.2.13</t>
  </si>
  <si>
    <t>Lakossági kezdeményezéssel megvalósuló út és közműépítés 2017. évi előkészítése</t>
  </si>
  <si>
    <t>7.2.14</t>
  </si>
  <si>
    <t>Haláp-Nagycsere ivóvíz ellátásának tervezése</t>
  </si>
  <si>
    <t>7.2.15</t>
  </si>
  <si>
    <t>Kondoros csatorna áthelyezése</t>
  </si>
  <si>
    <t>7.2.16</t>
  </si>
  <si>
    <t>Lakott külterületek fejlesztése</t>
  </si>
  <si>
    <t>7.2.17</t>
  </si>
  <si>
    <t>Debrecen – Mikepércs kerékpárút építése</t>
  </si>
  <si>
    <t>7.2.18</t>
  </si>
  <si>
    <t>Modern városok pályázat</t>
  </si>
  <si>
    <t>7.2.18.1</t>
  </si>
  <si>
    <t>Debrecen közösségi közlekedési feltételeinek javítása utak és járdák burkolatainak cseréjével</t>
  </si>
  <si>
    <t>7.2.18.2</t>
  </si>
  <si>
    <t>Debrecen közösségi közlekedési feltételeinek javítása új utak építésével</t>
  </si>
  <si>
    <t>7.2.19</t>
  </si>
  <si>
    <t>Szabó Lőrinc + 9 utca (ISPA programból kimaradt utcák) csatornázása</t>
  </si>
  <si>
    <t>Egészségügyi feladatok</t>
  </si>
  <si>
    <t>(5. melléklet 9. cím részletezése)</t>
  </si>
  <si>
    <t>9.1.1</t>
  </si>
  <si>
    <t>Bírósági végzés alapján baleseti járadék</t>
  </si>
  <si>
    <t>9.1.2</t>
  </si>
  <si>
    <t>Foglalkozás-egészségügyi alapszolgáltatás</t>
  </si>
  <si>
    <t>9.1.3</t>
  </si>
  <si>
    <t>Egészségügyi alapellátás biztosítása</t>
  </si>
  <si>
    <t>9.1.4</t>
  </si>
  <si>
    <t>Egészségügyi szolgáltatás nyújtása (anyatejgyűjtés)</t>
  </si>
  <si>
    <t>9.1.5</t>
  </si>
  <si>
    <t>Háziorvosok támogatása</t>
  </si>
  <si>
    <t>9.1.6</t>
  </si>
  <si>
    <t>DEKOM támogatása</t>
  </si>
  <si>
    <t>Népjóléti feladatok</t>
  </si>
  <si>
    <t>(5. melléklet 10. cím részletezése)</t>
  </si>
  <si>
    <t>10.1.1</t>
  </si>
  <si>
    <t>Ellátási szerződések az önkormányzat által kötelezően ellátandó szociális- és gyermekjóléti feladatokra</t>
  </si>
  <si>
    <t>10.1.2</t>
  </si>
  <si>
    <t>Hátrányos helyzetű gyermekek hétvégi étkeztetésének megvalósítása a Magyar Máltai Szeretetszolgálat Debreceni Csoportja által</t>
  </si>
  <si>
    <t>10.1.3</t>
  </si>
  <si>
    <t>A szociális és gyermekjóléti intézmények szolgáltatói nyilvántartásba történő bejegyzéséhez, az adatok módosításához, hatósági eljárásokhoz kapcsolódó kiadások</t>
  </si>
  <si>
    <t>10.1.4</t>
  </si>
  <si>
    <t>Nyári gyermekfelügyelet biztosítása</t>
  </si>
  <si>
    <t>10.1.5</t>
  </si>
  <si>
    <t>Hátrányos helyzetű gyermekek nyári üdültetése</t>
  </si>
  <si>
    <t>10.1.6</t>
  </si>
  <si>
    <t>Bursa Hungarica Felsőoktatási Önkormányzati Ösztöndíjpályázat</t>
  </si>
  <si>
    <t>10.1.7</t>
  </si>
  <si>
    <t>DE Klinikai Központ Gyermekgyógyászati Intézménynél tartós gyógykezelés alatt álló gyermekek tankötelezettségének támogatása</t>
  </si>
  <si>
    <t>Sportfeladatok és kiemelt sportrendezvények</t>
  </si>
  <si>
    <t>(5. melléklet 11. cím részletezése)</t>
  </si>
  <si>
    <t>2016. évi módosítot előirányzat összege</t>
  </si>
  <si>
    <t>11.1.1</t>
  </si>
  <si>
    <t>Diáksport versenyek támogatása</t>
  </si>
  <si>
    <t>11.1.2</t>
  </si>
  <si>
    <t>Szakszövetségi versenyek támogatása</t>
  </si>
  <si>
    <t>11.1.3</t>
  </si>
  <si>
    <t>Kiemelt sportrendezvények szervezése, támogatása</t>
  </si>
  <si>
    <t>11.1.4</t>
  </si>
  <si>
    <t>Szabadidősport</t>
  </si>
  <si>
    <t>11.1.5</t>
  </si>
  <si>
    <t>Nemzetközi és utánpótlásversenyek, olimpikonok felkészülése</t>
  </si>
  <si>
    <t>11.2.1</t>
  </si>
  <si>
    <t>Sportuszoda használat támogatása</t>
  </si>
  <si>
    <t>11.2.2</t>
  </si>
  <si>
    <t>Sport ösztöndíj</t>
  </si>
  <si>
    <t>Önkormányzat által folyósított ellátások</t>
  </si>
  <si>
    <t>(5. melléklet 12. cím részletezése)</t>
  </si>
  <si>
    <t>FT-ban</t>
  </si>
  <si>
    <t>12.1.1</t>
  </si>
  <si>
    <t>Adósságcsökkentési támogatás</t>
  </si>
  <si>
    <t>12.1.2</t>
  </si>
  <si>
    <t>Települési támogatás (pénzbeli)</t>
  </si>
  <si>
    <t>12.1.2.1</t>
  </si>
  <si>
    <t>Lakásfenntartási támogatás</t>
  </si>
  <si>
    <t>12.1.2.2</t>
  </si>
  <si>
    <t>Adósságkezelés</t>
  </si>
  <si>
    <t>12.1.2.3</t>
  </si>
  <si>
    <t>Eseti, időszaki, nevelési támogatás</t>
  </si>
  <si>
    <t>12.1.2.4</t>
  </si>
  <si>
    <t>Temetési támogatás</t>
  </si>
  <si>
    <t>12.1.3</t>
  </si>
  <si>
    <t>Települési támogatás (természetbeni)</t>
  </si>
  <si>
    <t>12.1.3.1</t>
  </si>
  <si>
    <t>Iskolakezdési támogatás</t>
  </si>
  <si>
    <t>12.1.3.2</t>
  </si>
  <si>
    <t>Gyógyszertámogatás</t>
  </si>
  <si>
    <t>12.1.3.3</t>
  </si>
  <si>
    <t>Kelengye támogatás</t>
  </si>
  <si>
    <t>12.1.3.4</t>
  </si>
  <si>
    <t>Rászorultsági térítési díj</t>
  </si>
  <si>
    <t>12.1.4</t>
  </si>
  <si>
    <t>Köztemetés</t>
  </si>
  <si>
    <t>12.2.1</t>
  </si>
  <si>
    <t>Gyermekszegénység elleni program keretében nyújtott szünidei étkeztetés biztosítása</t>
  </si>
  <si>
    <t>12.2.2</t>
  </si>
  <si>
    <t>70 éven felüliek hulladékgazdálkodási közszolgáltatási díjtámogatása</t>
  </si>
  <si>
    <t>12.2.3</t>
  </si>
  <si>
    <t>Gyógyfürdő támogatás</t>
  </si>
  <si>
    <t>12.2.4</t>
  </si>
  <si>
    <t>Tehetséges tanulók támogatása</t>
  </si>
  <si>
    <t>12.2.5</t>
  </si>
  <si>
    <t>Arany János tehetséggondozó program</t>
  </si>
  <si>
    <t>Közművelődési feladatok</t>
  </si>
  <si>
    <t>(5. melléklet 14. cím részletezése)</t>
  </si>
  <si>
    <t>14.1.1</t>
  </si>
  <si>
    <t>Városi szintű rendezvények, kulturális közösségi programok, városrészi rendezvények</t>
  </si>
  <si>
    <t>14.1.2</t>
  </si>
  <si>
    <t>Szakértők, művészek eseti megbízási díja</t>
  </si>
  <si>
    <t>14.1.3</t>
  </si>
  <si>
    <t xml:space="preserve">Kiadványok és debreceni programajánló támogatása </t>
  </si>
  <si>
    <t>14.1.4</t>
  </si>
  <si>
    <t>Gyermek, Ifjúsági és KEF pályázatok önrész</t>
  </si>
  <si>
    <t>14.1.5</t>
  </si>
  <si>
    <t>Kiemelt gyermek- és ifjúsági kulturális rendezvények</t>
  </si>
  <si>
    <t>14.1.6</t>
  </si>
  <si>
    <t>Antal-Luszig gyűjteménnyel kapcsolatos költségek</t>
  </si>
  <si>
    <t>14.1.7</t>
  </si>
  <si>
    <t>Debreceni Nyári Egyetem támogatása</t>
  </si>
  <si>
    <t>14.1.8</t>
  </si>
  <si>
    <t>Debreceni Egyetem támogatása</t>
  </si>
  <si>
    <t>14.1.9</t>
  </si>
  <si>
    <t>Közművelődési támogatások (az ellátatlan városrészek közösségi színtereinek működtetése)</t>
  </si>
  <si>
    <t>14.1.10</t>
  </si>
  <si>
    <t>Kölcsey Ferenc ösztöndíj</t>
  </si>
  <si>
    <t>14.1.11</t>
  </si>
  <si>
    <t>Debreceni Értéktár Bizottság működésével kapacsolatos kiadások</t>
  </si>
  <si>
    <t>14.1.12</t>
  </si>
  <si>
    <t>Alapítványok önkormányzati támogatása</t>
  </si>
  <si>
    <t>14.1.12.1</t>
  </si>
  <si>
    <t>Alföld Alapítvány támogatása</t>
  </si>
  <si>
    <t>14.1.12.2</t>
  </si>
  <si>
    <t>Debrecen Kultúrájáért Alapítvány támogatása</t>
  </si>
  <si>
    <t>14.1.12.3</t>
  </si>
  <si>
    <t>Őrváros Debrecen Közalapítvány támogatása</t>
  </si>
  <si>
    <t>14.1.12.4</t>
  </si>
  <si>
    <t>Tehetséges Debreceni Fiatalokért Közalapítvány támogatása</t>
  </si>
  <si>
    <t>14.1.12.5</t>
  </si>
  <si>
    <t>14.1.12.6</t>
  </si>
  <si>
    <t>14.1.12.7</t>
  </si>
  <si>
    <t>14.1.13</t>
  </si>
  <si>
    <t>Kelet-Európai Zsidóság Történetét Bemutató Múzeum, Oktatási és Kulturális Központ létrehozásának támogatása</t>
  </si>
  <si>
    <t>Támogatások</t>
  </si>
  <si>
    <t>(5. melléklet 15. cím részletezése)</t>
  </si>
  <si>
    <t>15.1.1</t>
  </si>
  <si>
    <t>Önkormányzati, illetve részben önkormányzati tulajdonban lévő vállalkozások támogatása összesen</t>
  </si>
  <si>
    <t>15.1.1.1</t>
  </si>
  <si>
    <t>Agóra Közhasznú Nonprofit Kft. Támogatása</t>
  </si>
  <si>
    <t>15.1.1.2</t>
  </si>
  <si>
    <t>Alföld Szakképző Nonprofit Közhasznú Kft. Támogatása</t>
  </si>
  <si>
    <t>15.1.1.3</t>
  </si>
  <si>
    <t>Debreceni Ifjúsági Nonprofit Kft. támogatása</t>
  </si>
  <si>
    <t>15.1.1.4</t>
  </si>
  <si>
    <t>Debreceni Sportcentrum Közhasznú Nonprofit Kft. támogatása</t>
  </si>
  <si>
    <t>15.1.1.5</t>
  </si>
  <si>
    <t>Debreceni Sportcentrum Közhasznú Nonprofit Kft. támogatása (versenysport támogatása)</t>
  </si>
  <si>
    <t>15.1.1.6</t>
  </si>
  <si>
    <t>DEHUSZ Nonprofit Kft. támogatása</t>
  </si>
  <si>
    <t>15.1.1.7</t>
  </si>
  <si>
    <t>EDC Debrecen Nonprofit Kft. támogatása</t>
  </si>
  <si>
    <t>15.1.1.8</t>
  </si>
  <si>
    <t>Főnix Rendezvényszervező Közhasznú Nonprofit Kft. támogatása</t>
  </si>
  <si>
    <t>15.1.1.9</t>
  </si>
  <si>
    <t>Modem Modern Debreceni Nonprofit Kft. Támogatása</t>
  </si>
  <si>
    <t>15.1.1.10</t>
  </si>
  <si>
    <t>"NAGYERDEI KULTÚRPARK" Nonprofit Kft. támogatása</t>
  </si>
  <si>
    <t>15.1.1.11</t>
  </si>
  <si>
    <t>EKF Debrecen 2023 Nonprofit Kft. támogatása</t>
  </si>
  <si>
    <t>15.2.1</t>
  </si>
  <si>
    <t>Sportszervezetek támogatásai összesen</t>
  </si>
  <si>
    <t>15.2.1.1</t>
  </si>
  <si>
    <t>DVSC Futball Szervező Zrt. Támogatása</t>
  </si>
  <si>
    <t>15.2.1.2</t>
  </si>
  <si>
    <t>Debreceni Labdarúgó Akadémia támogatása</t>
  </si>
  <si>
    <t>15.2.1.3</t>
  </si>
  <si>
    <t>DVSC Kézilabda Kft. Támogatása</t>
  </si>
  <si>
    <t>15.2.1.4</t>
  </si>
  <si>
    <t>Debreceni Hoki Klub támogatása</t>
  </si>
  <si>
    <t>15.2.1.5</t>
  </si>
  <si>
    <t>DVSE Kft. támogatása</t>
  </si>
  <si>
    <t>15.2.2</t>
  </si>
  <si>
    <t>Egyéb támogatások</t>
  </si>
  <si>
    <t>15.2.2.1</t>
  </si>
  <si>
    <t>Polgárőr szövetségek támogatása</t>
  </si>
  <si>
    <t>15.2.2.2</t>
  </si>
  <si>
    <t>Térfigyelő rendszer üzemeltetés bérköltségének támogatása</t>
  </si>
  <si>
    <t>15.2.2.3</t>
  </si>
  <si>
    <t>Debrecen-Hortobágy Turizmusáért Egyesület támogatása</t>
  </si>
  <si>
    <t>15.2.2.4</t>
  </si>
  <si>
    <t>Nagyerdei Stadion Rekonstrukciós Kft. támogatása</t>
  </si>
  <si>
    <t>15.2.2.5</t>
  </si>
  <si>
    <t>MSE Magyar Sport- és Életmódfejlesztő Klaszter Szolgáltató Kft. támogatása</t>
  </si>
  <si>
    <t>15.2.2.6</t>
  </si>
  <si>
    <t>Nagyerdei Stadion Menedzsment Kft. támogatása</t>
  </si>
  <si>
    <t>15.2.2.7</t>
  </si>
  <si>
    <t>Zsuzsi Erdei Vasút Nonprofit Kft. Támogatása</t>
  </si>
  <si>
    <t>15.2.3</t>
  </si>
  <si>
    <t>Tagdíjak összesen</t>
  </si>
  <si>
    <t>15.2.3.1</t>
  </si>
  <si>
    <t>Megyei Jogú Városok Szövetsége</t>
  </si>
  <si>
    <t>15.2.3.2</t>
  </si>
  <si>
    <t xml:space="preserve">Debreceni Agglomeráció Hulladékgazdálkodási Társulás (hozzájárulás) </t>
  </si>
  <si>
    <t>15.2.3.3</t>
  </si>
  <si>
    <t>Városok-Falvak Szövetsége</t>
  </si>
  <si>
    <t>15.2.3.4</t>
  </si>
  <si>
    <t>Bihari Szilárd Hulladéklerakó és Hasznosító Társulás munkaszervezeti feladatainak ellátásához tagi hozzájárulás</t>
  </si>
  <si>
    <t>15.2.3.5</t>
  </si>
  <si>
    <t>Dél-Nyírség, Erdőspuszták Leader Egyesület</t>
  </si>
  <si>
    <t>Egyéb kiadások</t>
  </si>
  <si>
    <t>(5. melléklet 20. cím részletezése)</t>
  </si>
  <si>
    <t>20.1.1</t>
  </si>
  <si>
    <t>Postaköltség</t>
  </si>
  <si>
    <t>20.1.2</t>
  </si>
  <si>
    <t>OTP fizetési számla kezelési költsége</t>
  </si>
  <si>
    <t>20.1.3</t>
  </si>
  <si>
    <t>Áfa befizetés</t>
  </si>
  <si>
    <t>20.1.4</t>
  </si>
  <si>
    <t>20.1.5</t>
  </si>
  <si>
    <t>Megbízási díjak</t>
  </si>
  <si>
    <t>20.1.6</t>
  </si>
  <si>
    <t>Helyi közösségi közlekedés 2016. évi állami támogatása</t>
  </si>
  <si>
    <t>20.1.7</t>
  </si>
  <si>
    <t>Helyi közösségi közlekedés 2016. évi önkormányzati önrésze</t>
  </si>
  <si>
    <t>20.1.8</t>
  </si>
  <si>
    <t>DKV Zrt. 2014. évi veszteség kompenzációja</t>
  </si>
  <si>
    <t>20.1.9</t>
  </si>
  <si>
    <t>Lakossági ivóvíz szolgáltatás támogatása</t>
  </si>
  <si>
    <t>20.1.10</t>
  </si>
  <si>
    <t>Elismerő címek, díjak és kitüntetések</t>
  </si>
  <si>
    <t>20.1.11</t>
  </si>
  <si>
    <t>Normatív állami támogatások elszámolása</t>
  </si>
  <si>
    <t>20.1.12</t>
  </si>
  <si>
    <t xml:space="preserve">Közbeszerzési eljárások közzétételi díja </t>
  </si>
  <si>
    <t>20.1.13</t>
  </si>
  <si>
    <t>Kisgyermekes bérlet kedvezmény bevételkiesésének fedezete</t>
  </si>
  <si>
    <t>20.1.14</t>
  </si>
  <si>
    <t>Előző költségvetési éveket érintő visszatérítések</t>
  </si>
  <si>
    <t>20.1.15</t>
  </si>
  <si>
    <t>Debreceni Viziközmű Társulat kiadásai</t>
  </si>
  <si>
    <t>20.1.16</t>
  </si>
  <si>
    <t>Olajfa Lakópark Víziközmű Társulat kiadásai</t>
  </si>
  <si>
    <t>20.1.17</t>
  </si>
  <si>
    <t>Helyi adóval összefüggő igazgatási és végrehajtási díjak, költségek kiadásai</t>
  </si>
  <si>
    <t>20.1.18</t>
  </si>
  <si>
    <t>Önkormányzati társasági tulajdonrészekkel kapcsolatos költségek</t>
  </si>
  <si>
    <t>20.1.19</t>
  </si>
  <si>
    <t>2016. évi állami támogatás megelőlegezése</t>
  </si>
  <si>
    <t>20.1.20</t>
  </si>
  <si>
    <t>Intézmények részére átadott maradvány</t>
  </si>
  <si>
    <t>20.1.21</t>
  </si>
  <si>
    <t>Kárpátaljai Segélyalap</t>
  </si>
  <si>
    <t>20.1.22</t>
  </si>
  <si>
    <t>Jogi oltalmakhoz kapcsolódó megbízási díjak, és jogi, végrehajtási eljárásokban felmerülő költségek</t>
  </si>
  <si>
    <t>20.1.23</t>
  </si>
  <si>
    <t>Széchenyi terves lakások üzemeltetésével kapcsolatos kiadások (pénzforgalom nélküli)</t>
  </si>
  <si>
    <t>20.1.24</t>
  </si>
  <si>
    <t>Programajánló információs kiadvány</t>
  </si>
  <si>
    <t>20.1.25</t>
  </si>
  <si>
    <t>Műsoridő vásárlás</t>
  </si>
  <si>
    <t>Városmarketing feladatok</t>
  </si>
  <si>
    <t>(5. melléklet 21. cím részletezése)</t>
  </si>
  <si>
    <t>21.2.1</t>
  </si>
  <si>
    <t>Média-megjelenések és kiadványok</t>
  </si>
  <si>
    <t>21.2.2</t>
  </si>
  <si>
    <t>Kiemelkedő tevékenységek és kiemelt városi rendezvények támogatása</t>
  </si>
  <si>
    <t>21.2.3</t>
  </si>
  <si>
    <t>Idegenforgalmi feladatok</t>
  </si>
  <si>
    <t>21.2.4</t>
  </si>
  <si>
    <t>Díszkivilágítás</t>
  </si>
  <si>
    <t>21.2.5</t>
  </si>
  <si>
    <t>Állampolgársági eskütétellel kapcsolatos feladatok</t>
  </si>
  <si>
    <t>21.2.6</t>
  </si>
  <si>
    <t>WiFi üzmeltetés és internet szolgáltatás</t>
  </si>
  <si>
    <t>21.2.7</t>
  </si>
  <si>
    <t>Gazdaságszervezési, gazdaságfejlesztési feladatok</t>
  </si>
  <si>
    <t>21.2.8</t>
  </si>
  <si>
    <t>Nemzetközi kapcsolatok</t>
  </si>
  <si>
    <t>21.2.9</t>
  </si>
  <si>
    <t>Bocskai István Ökölvívó Emlékverseny</t>
  </si>
  <si>
    <t>Nemzetközi és hazai támogatású pályázatok</t>
  </si>
  <si>
    <t>(5. melléklet 22. cím részletezése)</t>
  </si>
  <si>
    <t>22.1.1</t>
  </si>
  <si>
    <t>Interreg Egészségipar</t>
  </si>
  <si>
    <t>22.1.2</t>
  </si>
  <si>
    <t>Cental Europe Program - HELPS</t>
  </si>
  <si>
    <t>22.1.3</t>
  </si>
  <si>
    <t>TÁMOP 3.1.3. - 11/2-2012-0043 "A természettudományos oktatás megújítása Debrecenben, Öveges program a TÁG-ban"</t>
  </si>
  <si>
    <t>22.1.4</t>
  </si>
  <si>
    <t>ÁROP-1.A.5-2013-2013-0085 "Debrecen Megyei Jogú Város Önkormányzata és egyes intézményei működésének, szervezetének felülvizsgálata, fejlesztése"</t>
  </si>
  <si>
    <t>22.1.5</t>
  </si>
  <si>
    <t>ÁROP-1.A.6-2013-2013-0014 "Közigazgatási partnerségi kapcsolatok erősítése"</t>
  </si>
  <si>
    <t>22.1.6</t>
  </si>
  <si>
    <t>ÁROP-1.A.3-2014-2014-0038 "Esély-Háló" Területi Együttműködést segítő programok kialakítása</t>
  </si>
  <si>
    <t>22.1.7</t>
  </si>
  <si>
    <t>TÁMOP 4.2.1C-14/1 Konv "Tudás-Park"</t>
  </si>
  <si>
    <t>22.1.8</t>
  </si>
  <si>
    <t>Európa Kulturális Főváros pályázat</t>
  </si>
  <si>
    <t>22.1.9</t>
  </si>
  <si>
    <t>Évközben induló pályázatok kiadásai</t>
  </si>
  <si>
    <t>22.1.10</t>
  </si>
  <si>
    <t>TOP-6.8.2-15 Foglalkoztatási paktum kialakítása</t>
  </si>
  <si>
    <t>22.1.11</t>
  </si>
  <si>
    <t>TOP-6.9.1-15 Társadalmi együttműködés erősítés Nagymacs városrészen</t>
  </si>
  <si>
    <t>22.1.12</t>
  </si>
  <si>
    <t>Vagyongazdálkodási feladatok</t>
  </si>
  <si>
    <t>(5. melléklet 23. cím részletezése)</t>
  </si>
  <si>
    <t>23.1.1</t>
  </si>
  <si>
    <t>Üzemeltetési költség</t>
  </si>
  <si>
    <t>23.1.2</t>
  </si>
  <si>
    <t xml:space="preserve">Ingatlanértékesítés előkészítése </t>
  </si>
  <si>
    <t>23.1.3</t>
  </si>
  <si>
    <t xml:space="preserve">Önkormányzattal szembeni követelések, kártérítések </t>
  </si>
  <si>
    <t>23.1.4</t>
  </si>
  <si>
    <t>Vagyonkataszter karbantartás</t>
  </si>
  <si>
    <t>23.1.5</t>
  </si>
  <si>
    <t xml:space="preserve">Egyéb vagyonkezelési költség </t>
  </si>
  <si>
    <t>23.1.6</t>
  </si>
  <si>
    <t>Térítési díjak önkormányzati lakások kiürítéséhez</t>
  </si>
  <si>
    <t>23.1.7</t>
  </si>
  <si>
    <t>Stratégiai vagyonalap</t>
  </si>
  <si>
    <t>23.1.8</t>
  </si>
  <si>
    <t>Szabályozási tervi korlátozás, kisajátítás, adásvétel</t>
  </si>
  <si>
    <t>23.1.9</t>
  </si>
  <si>
    <t xml:space="preserve">Ingatlan forgalmi értékének a szabályozási tervi előírások miatti értékcsökkenéséből adódó kártalanítás </t>
  </si>
  <si>
    <t>23.1.10</t>
  </si>
  <si>
    <t xml:space="preserve">Bontási költség </t>
  </si>
  <si>
    <t>23.1.11</t>
  </si>
  <si>
    <t>Színház funkció befogadására létesített ingatlan állagmegóvásával és vagyonvédelmével kapcsolatos kiadások</t>
  </si>
  <si>
    <t>23.1.12</t>
  </si>
  <si>
    <t>Bérleti díj beszámítással végzett beruházások, felújítások elszámolása</t>
  </si>
  <si>
    <t>23.1.13</t>
  </si>
  <si>
    <t>Ingatlancserék</t>
  </si>
  <si>
    <t>23.1.14</t>
  </si>
  <si>
    <t>Felújítások</t>
  </si>
  <si>
    <t>23.1.15</t>
  </si>
  <si>
    <t>Nem lakás célú önkormányzati tulajdonú helyiségek közös költségei</t>
  </si>
  <si>
    <t>23.1.16</t>
  </si>
  <si>
    <t>Riasztórendszerek kiépítése, figyelőszolgáltatása, karbantartása</t>
  </si>
  <si>
    <t>23.1.17</t>
  </si>
  <si>
    <t>DSZC által vagyonkezelésbe vett ingatlanokhoz kapcsolódó közmű díjak</t>
  </si>
  <si>
    <t>23.1.18</t>
  </si>
  <si>
    <t>Stadion bérlet</t>
  </si>
  <si>
    <t>23.1.19</t>
  </si>
  <si>
    <t>Repülőtéri út és közművek ingyenes átvételének áfája</t>
  </si>
  <si>
    <t>23.1.20</t>
  </si>
  <si>
    <t>Tócóvölgyi csererdősítés</t>
  </si>
  <si>
    <t>Nemzetiségi Önkormányzatok működési támogatása</t>
  </si>
  <si>
    <t>(5. melléklet 24. cím részletezése)</t>
  </si>
  <si>
    <t>24.2.1</t>
  </si>
  <si>
    <t>DMJV Bolgár Nemzetiségi Önkormányzat működési támogatása</t>
  </si>
  <si>
    <t>24.2.2</t>
  </si>
  <si>
    <t>DMJV Roma Nemzetiségi Önkormányzat működési támogatása</t>
  </si>
  <si>
    <t>24.2.3</t>
  </si>
  <si>
    <t>DMJV Örmény Nemzetiségi Önkormányzat működési támogatása</t>
  </si>
  <si>
    <t>24.2.4</t>
  </si>
  <si>
    <t>DMJV Német Nemzetiségi Önkormányzat működési támogatása</t>
  </si>
  <si>
    <t>24.2.5</t>
  </si>
  <si>
    <t>DMJV Román Nemzetiségi Önkormányzat működési támogatása</t>
  </si>
  <si>
    <t>24.2.6</t>
  </si>
  <si>
    <t>DMJV Ruszin Nemzetiségi  Önkormányzat működési támogatása</t>
  </si>
  <si>
    <t>24.2.7</t>
  </si>
  <si>
    <t>DMJV Görög Nemzetiségi  Önkormányzat működési támogatása</t>
  </si>
  <si>
    <t>Céltartalék</t>
  </si>
  <si>
    <t>(5. melléklet 26. cím részletezése)</t>
  </si>
  <si>
    <t>26.1.1</t>
  </si>
  <si>
    <t>Technológiai felügyeleti rendszerek, érintésvédelem</t>
  </si>
  <si>
    <t>26.1.2</t>
  </si>
  <si>
    <t>Tűzjelző rendszerek kiépítése, karbantartása</t>
  </si>
  <si>
    <t>26.1.3</t>
  </si>
  <si>
    <t>Gázrendszerek várható felújítása</t>
  </si>
  <si>
    <t>26.1.4</t>
  </si>
  <si>
    <t>Bérkompenzáció 2014. évi elszámolása</t>
  </si>
  <si>
    <t>26.1.5</t>
  </si>
  <si>
    <t>Bérkompenzáció 2015. évi áthúzódó támogatása</t>
  </si>
  <si>
    <t>26.1.6</t>
  </si>
  <si>
    <t>Bérkompenzáció 2016. évi különbözete</t>
  </si>
  <si>
    <t>26.1.7</t>
  </si>
  <si>
    <t>Megyei Könyvtár Kistelepülési könyvtári célú kiegészítő támogatása</t>
  </si>
  <si>
    <t>26.1.8</t>
  </si>
  <si>
    <t>Óvodapedagógusok nevelő munkáját segítők bértámogatása (pótlólagos összeg)</t>
  </si>
  <si>
    <t>26.1.9</t>
  </si>
  <si>
    <t>Óvodapedagógusok bértámogatása (pótlólagos összeg)</t>
  </si>
  <si>
    <t>26.1.10</t>
  </si>
  <si>
    <t>Déri Múzeum önrész, egyéb felújítás fedezete</t>
  </si>
  <si>
    <t>26.1.11</t>
  </si>
  <si>
    <t>Érdekeltségnövelő támogatás (önrész)</t>
  </si>
  <si>
    <t>26.1.12</t>
  </si>
  <si>
    <t>Kubinyi Ágoston program (önrész)</t>
  </si>
  <si>
    <t>26.1.13</t>
  </si>
  <si>
    <t xml:space="preserve">Óvodai pedagógiai asszisztensek bére </t>
  </si>
  <si>
    <t>26.1.14</t>
  </si>
  <si>
    <t>Nemzetközi és hazai pályázatoknál felmerülő évközi költség</t>
  </si>
  <si>
    <t>26.1.15</t>
  </si>
  <si>
    <t>26.1.16</t>
  </si>
  <si>
    <t>EGT és Norvég Alapok pályázata</t>
  </si>
  <si>
    <t>26.1.17</t>
  </si>
  <si>
    <t>Románia-Magyarország 2014-2020. határon átnyúló együttműködési program</t>
  </si>
  <si>
    <t>26.1.18</t>
  </si>
  <si>
    <t xml:space="preserve">TOP-6.8.2-15 Helyi foglalkoztatási együttműködések a megyei jogú város területén és várostérségében „Foglalkoztatási paktum” </t>
  </si>
  <si>
    <t>26.1.19</t>
  </si>
  <si>
    <t>Orvosi rendelők felújításának és eszközök beszerzésének önereje</t>
  </si>
  <si>
    <t>26.1.20</t>
  </si>
  <si>
    <t>2015. szeptember után várható ingyenes gyermekétkeztetés kiadásának fedezete</t>
  </si>
  <si>
    <t>26.1.21</t>
  </si>
  <si>
    <t>Jogszabály által előírt rászoruló gyermekek intézményen kívüli szünidei  étkeztetés fedezetének biztosítása</t>
  </si>
  <si>
    <t>26.1.22</t>
  </si>
  <si>
    <t>Intézmények közbeszerzésének megindításához szükséges fedezet biztosítása</t>
  </si>
  <si>
    <t>26.1.23</t>
  </si>
  <si>
    <t>Óvodai játszótéri eszközök biztosnágossá tétele jogszabály kötelezettségek és Európai Uniós előírásoknak megfelelően</t>
  </si>
  <si>
    <t>26.1.24</t>
  </si>
  <si>
    <t>Bölcsődék és óvodák felújítása, építése</t>
  </si>
  <si>
    <t>26.1.25</t>
  </si>
  <si>
    <t>Pedagógiai asszisztensek foglalkoztatásának fedezete</t>
  </si>
  <si>
    <t>(5. melléklet a 6/2016. (II. 25.) önkormányzati rendelethez)</t>
  </si>
  <si>
    <t>(5.1. melléklet a 6/2016.(II.25.) önkormányzati rendelethez)</t>
  </si>
  <si>
    <t>Tőke-törlesztés</t>
  </si>
  <si>
    <t>(5.2. melléklet a 6/2016. (II.25.) önkormányzati rendelethez)</t>
  </si>
  <si>
    <t>(5.3. melléklet a 6/2016. (II. 25.) önkormányzati rendelethez)</t>
  </si>
  <si>
    <t>(5.4. melléklet a 6/2016. (II. 25.) önkormányzati rendelethez)</t>
  </si>
  <si>
    <t>(5.5. melléklet a 6/2016. (II. 25.) önkormányzati rendelethez)</t>
  </si>
  <si>
    <t>(5.6. melléklet a 6/2016. (II. 25.) önkormányzati rendelethez)</t>
  </si>
  <si>
    <t>(5.7. melléklet a 6/2016. (II. 25.) önkormányzati rendelethez)</t>
  </si>
  <si>
    <t>(5.8. melléklet a 6/2016. (II. 25.) önkormányzati rendelethez)</t>
  </si>
  <si>
    <t>(5.9. melléklet a 6/2016. (II. 25.) önkormányzati rendelethez)</t>
  </si>
  <si>
    <t>(5.10. melléklet a 6/2016. (II. 25.) önkormányzati rendelethez)</t>
  </si>
  <si>
    <t>(5.11. melléklet a 6/2016. (II. 25.) önkormányzati rendelethez)</t>
  </si>
  <si>
    <t>(5.12. melléklet a 6/2016. (II. 25.) önkormányzati rendelethez)</t>
  </si>
  <si>
    <t>(5.13. melléklet a 6/2016. (II. 25.) önkormányzati rendelethez)</t>
  </si>
  <si>
    <t>(5.14. melléklet a 6/2016. (II. 25.) önkormányzati rendelethez)</t>
  </si>
  <si>
    <t>(5.15. melléklet a 6/2016. (II. 25.) önkormányzati rendelethez)</t>
  </si>
  <si>
    <t>(5.16. melléklet a 6/2016. (II. 25.) önkormányzati rendelethez)</t>
  </si>
  <si>
    <t>(5.17. melléklet a 6/2016. (II. 25.) önkormányzati rendelethez)</t>
  </si>
  <si>
    <t>14.1.12.8</t>
  </si>
  <si>
    <t>14.1.12.9</t>
  </si>
  <si>
    <t>14.1.12.10</t>
  </si>
  <si>
    <t>14.1.12.11</t>
  </si>
  <si>
    <t>14.1.12.12</t>
  </si>
  <si>
    <t>14.1.12.13</t>
  </si>
  <si>
    <t>14.1.12.14</t>
  </si>
  <si>
    <t>14.1.12.15</t>
  </si>
  <si>
    <t>14.1.12.16</t>
  </si>
  <si>
    <t>14.1.12.17</t>
  </si>
  <si>
    <t>14.1.12.18</t>
  </si>
  <si>
    <t>14.1.12.19</t>
  </si>
  <si>
    <t>14.1.12.20</t>
  </si>
  <si>
    <t>Friss Oxigén Alapítvány támogatása</t>
  </si>
  <si>
    <t>Látásnélküli Világ Alapítvány támogatása</t>
  </si>
  <si>
    <t>Magyar Református Szeretetszolgálat Alapítvány támogátasa</t>
  </si>
  <si>
    <t>Alapítvány a Lórántffy Zsuzsanna Általános Iskoláért támogatása</t>
  </si>
  <si>
    <t>Mályvavirág Alapítvány Debreceni Mályvavirág Pont támogatása</t>
  </si>
  <si>
    <t>Új Egészség Alapítvány támogatása</t>
  </si>
  <si>
    <t>Csodakutya Állatasszisztált Terápiás Közhasznú Alapítvány támogatása</t>
  </si>
  <si>
    <t>Józsa Fejlődéséért Alapítvány támogatása</t>
  </si>
  <si>
    <t>Alapítvány a Vénkert Iskoláért támogatása</t>
  </si>
  <si>
    <t>Gyermekeink Művelődéséért, Kulturált Jövőnkért Alapítvány támogatása</t>
  </si>
  <si>
    <t>Szeretetszolgálat Alapítvány támogatása</t>
  </si>
  <si>
    <t>Vörösmarty Mihály Általános Iskoláért Alapítvány támogatása</t>
  </si>
  <si>
    <t xml:space="preserve">Eredeti összege    </t>
  </si>
  <si>
    <t xml:space="preserve">Eredeti összege      </t>
  </si>
  <si>
    <t xml:space="preserve">Eredeti összege     </t>
  </si>
  <si>
    <t>Bűnmegelőzési projektek megvalósítása</t>
  </si>
  <si>
    <t>Eredeti összege</t>
  </si>
  <si>
    <t>Képviselő-testület működésével, tagjainak díjazásával, valamint a polgármester és az alpolgármesterek tiszteletdíjával és költségtérítéseivel kapcsolatos kiadások összesen</t>
  </si>
  <si>
    <t>HU11-0002-A1-2013 „Egészséges és Aktív Időskor"</t>
  </si>
  <si>
    <t>Vox Iuventutis Alapítvány támogatása</t>
  </si>
  <si>
    <t>Debreceni Hajdú Táncegyüttesért Alapítvány támogatása</t>
  </si>
  <si>
    <t>Hungaricum Művészeti Közhasznú Alapítvány támogatása</t>
  </si>
  <si>
    <t>Alapítvány A Kelet-Magyarországi Transzplantációért támogatása</t>
  </si>
  <si>
    <t>4.2.109</t>
  </si>
  <si>
    <t>4.2.110</t>
  </si>
  <si>
    <t>4.2.111</t>
  </si>
  <si>
    <t>4.2.112</t>
  </si>
  <si>
    <t>4.2.113</t>
  </si>
  <si>
    <t>4.2.114</t>
  </si>
  <si>
    <t>4.2.115</t>
  </si>
  <si>
    <t>4.2.116</t>
  </si>
  <si>
    <t>4.2.117</t>
  </si>
  <si>
    <t>4.2.118</t>
  </si>
  <si>
    <t>4.2.119</t>
  </si>
  <si>
    <t>4.2.120</t>
  </si>
  <si>
    <t>Debrecen, Simonffy u. 2/a II. emeleti ingatlan felújítása</t>
  </si>
  <si>
    <t>TOP-6.4.1- A belváros forgalomtechnikájának javítása és kerékpárosbarátabbá tétele</t>
  </si>
  <si>
    <t>TOP-6.4.1 Északi városrész forgalomszervezése és kerékpárút kialakítása</t>
  </si>
  <si>
    <t>TOP-6.4.1 Nyugati városrész forgalomszervezése és kerékpárút kialakítása</t>
  </si>
  <si>
    <t>TOP-6.4.1 Kismacsra vezető kerékpárút kialakítása</t>
  </si>
  <si>
    <t>TOP-6.4.1 Keleti városrész forgalomszervezése és kerékpárút kialakítása</t>
  </si>
  <si>
    <t>Agráripari park Infrastrukturális fejlesztése</t>
  </si>
  <si>
    <t>Hajó Utcai Óvoda épületének energetikai korszerűsítése</t>
  </si>
  <si>
    <t>József Attila -telepi Könyvtár épületének energetikai korszerűsítése</t>
  </si>
  <si>
    <t>Csapókerti Közösségi Ház épületének energetikai korszerűsítése</t>
  </si>
  <si>
    <t>Ondódi Közösségi Ház épületének energetikai korszerűsítése</t>
  </si>
  <si>
    <t>Debrecen, Jerikó u. 17. szám alatti intézmények épületegyüttesének energetikai korszerűsítése</t>
  </si>
  <si>
    <t>Szivárvány Óvoda épületének energetikai korszerűsítése</t>
  </si>
  <si>
    <t>4.2.121</t>
  </si>
  <si>
    <t>4.2.122</t>
  </si>
  <si>
    <t>4.2.123</t>
  </si>
  <si>
    <t>4.2.124</t>
  </si>
  <si>
    <t>4.2.125</t>
  </si>
  <si>
    <t>4.2.126</t>
  </si>
  <si>
    <t>4.2.127</t>
  </si>
  <si>
    <t>Fazekas Mihály Gimnázium Tóth Árpád utcai épületének energetikai korszerűsítése</t>
  </si>
  <si>
    <t>Honvéd utcai Bölcsőde épületének energetikai korszerűsítése</t>
  </si>
  <si>
    <t>Lehel Utcai Óvoda épületének energetikai korszerűsítése</t>
  </si>
  <si>
    <t>Közép Utcai Óvoda épületének energetikai korszerűsítése</t>
  </si>
  <si>
    <t>Görgey Utcai Óvoda épületének energetikai korszerűsítése</t>
  </si>
  <si>
    <t>Boldogfalva Óvoda épületének energetikai korszerűsítése</t>
  </si>
  <si>
    <t>4.2.128</t>
  </si>
  <si>
    <t>Sestakert gazdaságélénkítő környezeti megújítása</t>
  </si>
  <si>
    <t xml:space="preserve">Debreceni Dózsa György Általános Iskola  épületének energetikai korszerűsítése </t>
  </si>
  <si>
    <t xml:space="preserve">Lilla Téri Általános Iskola  energetikai korszerűsítése </t>
  </si>
  <si>
    <t xml:space="preserve">Debreceni Bocskai Általános Iskola energetikai korszerűsítése </t>
  </si>
  <si>
    <t>A Zenede energetikai korszerűsítése (TOP)</t>
  </si>
  <si>
    <t xml:space="preserve">Gulyás Pál Kollégium energetikai korszerűsítése </t>
  </si>
  <si>
    <t>15. melléklet a 34/2016. (IX. 15. ) önkormányzati rendelethez</t>
  </si>
  <si>
    <t>16. melléklet a 34/2016. (IX. 15. ) önkormányzati rendelethez</t>
  </si>
  <si>
    <t>17. melléklet a 34/2016. (IX. 15. ) önkormányzati rendelethez</t>
  </si>
  <si>
    <t>18. melléklet a 34/2016. (IX. 15. ) önkormányzati rendelethez</t>
  </si>
  <si>
    <t>19. melléklet a 34/2016. (IX. 15. ) önkormányzati rendelethez</t>
  </si>
  <si>
    <t>20. melléklet a 34/2016. (IX. 15. ) önkormányzati rendelethez</t>
  </si>
  <si>
    <t>21. melléklet a 34/2016. (IX. 15. ) önkormányzati rendelethez</t>
  </si>
  <si>
    <t>22. melléklet a 34/2016. (IX. 15. ) önkormányzati rendelethez</t>
  </si>
  <si>
    <t>23. melléklet a 34/2016. (IX. 15. ) önkormányzati rendelethez</t>
  </si>
  <si>
    <t>24. melléklet a 34/2016. (IX. 15. ) önkormányzati rendelethez</t>
  </si>
  <si>
    <t>25. melléklet a 34/2016. (IX. 15. ) önkormányzati rendelethez</t>
  </si>
  <si>
    <t>26. melléklet a 34/2016. (IX. 15. ) önkormányzati rendelethez</t>
  </si>
  <si>
    <t>27. melléklet a 34/2016. (IX. 15. ) önkormányzati rendelethez</t>
  </si>
  <si>
    <t>28. melléklet a 34/2016. (IX. 15. ) önkormányzati rendelethez</t>
  </si>
  <si>
    <t>29. melléklet a 34/2016. (IX. 15. ) önkormányzati rendelethez</t>
  </si>
  <si>
    <t>30. melléklet a 34/2016. (IX. 15. ) önkormányzati rendelethez</t>
  </si>
  <si>
    <t>31. melléklet a 34/2016. (IX. 15. ) önkormányzati rendelethez</t>
  </si>
  <si>
    <t>32. melléklet a 34/2016. (IX. 15. 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</si>
</sst>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;\-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0" fontId="18" fillId="28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0" fillId="29" borderId="8" applyNumberFormat="0" applyFont="0" applyAlignment="0" applyProtection="0"/>
    <xf numFmtId="0" fontId="45" fillId="30" borderId="0" applyNumberFormat="0" applyBorder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1" borderId="1" applyNumberFormat="0" applyAlignment="0" applyProtection="0"/>
    <xf numFmtId="9" fontId="0" fillId="0" borderId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3" fontId="6" fillId="34" borderId="15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3" fontId="6" fillId="34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 applyProtection="1">
      <alignment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 applyProtection="1">
      <alignment vertical="center"/>
      <protection/>
    </xf>
    <xf numFmtId="3" fontId="4" fillId="0" borderId="24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 wrapText="1"/>
    </xf>
    <xf numFmtId="3" fontId="6" fillId="34" borderId="17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57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8" fillId="0" borderId="0" xfId="57" applyFont="1" applyBorder="1" applyAlignment="1">
      <alignment vertical="center"/>
      <protection/>
    </xf>
    <xf numFmtId="0" fontId="0" fillId="0" borderId="11" xfId="56" applyFont="1" applyBorder="1" applyAlignment="1">
      <alignment horizontal="center"/>
      <protection/>
    </xf>
    <xf numFmtId="0" fontId="0" fillId="34" borderId="11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right"/>
      <protection/>
    </xf>
    <xf numFmtId="49" fontId="11" fillId="34" borderId="11" xfId="56" applyNumberFormat="1" applyFont="1" applyFill="1" applyBorder="1" applyAlignment="1">
      <alignment horizontal="right" vertical="center"/>
      <protection/>
    </xf>
    <xf numFmtId="0" fontId="11" fillId="34" borderId="11" xfId="56" applyFont="1" applyFill="1" applyBorder="1" applyAlignment="1">
      <alignment horizontal="right"/>
      <protection/>
    </xf>
    <xf numFmtId="0" fontId="11" fillId="34" borderId="11" xfId="57" applyFont="1" applyFill="1" applyBorder="1" applyAlignment="1">
      <alignment horizontal="right" vertical="center" wrapText="1"/>
      <protection/>
    </xf>
    <xf numFmtId="0" fontId="11" fillId="34" borderId="11" xfId="57" applyFont="1" applyFill="1" applyBorder="1" applyAlignment="1">
      <alignment horizontal="right" vertical="center" textRotation="90" wrapText="1"/>
      <protection/>
    </xf>
    <xf numFmtId="3" fontId="11" fillId="34" borderId="11" xfId="57" applyNumberFormat="1" applyFont="1" applyFill="1" applyBorder="1" applyAlignment="1">
      <alignment horizontal="right" vertical="center" wrapText="1"/>
      <protection/>
    </xf>
    <xf numFmtId="3" fontId="11" fillId="34" borderId="11" xfId="57" applyNumberFormat="1" applyFont="1" applyFill="1" applyBorder="1" applyAlignment="1">
      <alignment horizontal="right" vertical="center"/>
      <protection/>
    </xf>
    <xf numFmtId="49" fontId="0" fillId="0" borderId="11" xfId="56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164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textRotation="90" wrapText="1"/>
      <protection/>
    </xf>
    <xf numFmtId="3" fontId="10" fillId="0" borderId="11" xfId="57" applyNumberFormat="1" applyFont="1" applyBorder="1" applyAlignment="1">
      <alignment vertical="center"/>
      <protection/>
    </xf>
    <xf numFmtId="4" fontId="10" fillId="0" borderId="11" xfId="57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horizontal="right" vertical="center"/>
      <protection/>
    </xf>
    <xf numFmtId="3" fontId="11" fillId="0" borderId="11" xfId="57" applyNumberFormat="1" applyFont="1" applyBorder="1" applyAlignment="1">
      <alignment horizontal="right" vertical="center"/>
      <protection/>
    </xf>
    <xf numFmtId="0" fontId="0" fillId="0" borderId="11" xfId="57" applyFont="1" applyBorder="1" applyAlignment="1">
      <alignment vertical="center" wrapText="1"/>
      <protection/>
    </xf>
    <xf numFmtId="165" fontId="0" fillId="0" borderId="11" xfId="57" applyNumberFormat="1" applyFont="1" applyBorder="1" applyAlignment="1">
      <alignment horizontal="center" vertical="center" wrapText="1"/>
      <protection/>
    </xf>
    <xf numFmtId="0" fontId="10" fillId="0" borderId="11" xfId="57" applyFont="1" applyBorder="1">
      <alignment/>
      <protection/>
    </xf>
    <xf numFmtId="3" fontId="11" fillId="0" borderId="11" xfId="57" applyNumberFormat="1" applyFont="1" applyBorder="1" applyAlignment="1">
      <alignment vertical="center"/>
      <protection/>
    </xf>
    <xf numFmtId="3" fontId="10" fillId="0" borderId="11" xfId="57" applyNumberFormat="1" applyFont="1" applyFill="1" applyBorder="1" applyAlignment="1">
      <alignment vertical="center"/>
      <protection/>
    </xf>
    <xf numFmtId="3" fontId="11" fillId="34" borderId="11" xfId="57" applyNumberFormat="1" applyFont="1" applyFill="1" applyBorder="1" applyAlignment="1">
      <alignment vertical="center"/>
      <protection/>
    </xf>
    <xf numFmtId="3" fontId="11" fillId="34" borderId="11" xfId="57" applyNumberFormat="1" applyFont="1" applyFill="1" applyBorder="1" applyAlignment="1">
      <alignment horizontal="right" vertical="center" textRotation="90"/>
      <protection/>
    </xf>
    <xf numFmtId="3" fontId="0" fillId="35" borderId="11" xfId="57" applyNumberFormat="1" applyFont="1" applyFill="1" applyBorder="1" applyAlignment="1">
      <alignment horizontal="left" vertical="center" wrapText="1"/>
      <protection/>
    </xf>
    <xf numFmtId="164" fontId="0" fillId="35" borderId="11" xfId="57" applyNumberFormat="1" applyFont="1" applyFill="1" applyBorder="1" applyAlignment="1">
      <alignment horizontal="center" vertical="center" wrapText="1"/>
      <protection/>
    </xf>
    <xf numFmtId="164" fontId="0" fillId="35" borderId="11" xfId="57" applyNumberFormat="1" applyFont="1" applyFill="1" applyBorder="1" applyAlignment="1">
      <alignment horizontal="center" vertical="center" textRotation="90" wrapText="1"/>
      <protection/>
    </xf>
    <xf numFmtId="3" fontId="10" fillId="35" borderId="11" xfId="57" applyNumberFormat="1" applyFont="1" applyFill="1" applyBorder="1" applyAlignment="1">
      <alignment vertical="center"/>
      <protection/>
    </xf>
    <xf numFmtId="3" fontId="0" fillId="35" borderId="11" xfId="57" applyNumberFormat="1" applyFont="1" applyFill="1" applyBorder="1" applyAlignment="1">
      <alignment vertical="center"/>
      <protection/>
    </xf>
    <xf numFmtId="3" fontId="11" fillId="35" borderId="11" xfId="57" applyNumberFormat="1" applyFont="1" applyFill="1" applyBorder="1" applyAlignment="1">
      <alignment vertical="center"/>
      <protection/>
    </xf>
    <xf numFmtId="0" fontId="10" fillId="0" borderId="0" xfId="56" applyFont="1">
      <alignment/>
      <protection/>
    </xf>
    <xf numFmtId="49" fontId="11" fillId="34" borderId="11" xfId="56" applyNumberFormat="1" applyFont="1" applyFill="1" applyBorder="1" applyAlignment="1">
      <alignment horizontal="center" vertical="center"/>
      <protection/>
    </xf>
    <xf numFmtId="3" fontId="11" fillId="34" borderId="11" xfId="57" applyNumberFormat="1" applyFont="1" applyFill="1" applyBorder="1" applyAlignment="1">
      <alignment horizontal="center" vertical="center" wrapText="1"/>
      <protection/>
    </xf>
    <xf numFmtId="3" fontId="11" fillId="34" borderId="11" xfId="57" applyNumberFormat="1" applyFont="1" applyFill="1" applyBorder="1" applyAlignment="1">
      <alignment horizontal="center" vertical="center" textRotation="90" wrapText="1"/>
      <protection/>
    </xf>
    <xf numFmtId="3" fontId="8" fillId="35" borderId="11" xfId="57" applyNumberFormat="1" applyFont="1" applyFill="1" applyBorder="1" applyAlignment="1">
      <alignment horizontal="center" vertical="center" textRotation="90" wrapText="1"/>
      <protection/>
    </xf>
    <xf numFmtId="0" fontId="14" fillId="0" borderId="0" xfId="0" applyFont="1" applyBorder="1" applyAlignment="1">
      <alignment horizontal="right" vertical="center"/>
    </xf>
    <xf numFmtId="0" fontId="8" fillId="34" borderId="11" xfId="57" applyFont="1" applyFill="1" applyBorder="1" applyAlignment="1">
      <alignment horizontal="center" vertical="center" wrapText="1"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10" fillId="0" borderId="11" xfId="56" applyFont="1" applyBorder="1" applyAlignment="1">
      <alignment horizontal="right" vertical="center"/>
      <protection/>
    </xf>
    <xf numFmtId="0" fontId="11" fillId="34" borderId="11" xfId="56" applyFont="1" applyFill="1" applyBorder="1" applyAlignment="1">
      <alignment horizontal="right" vertical="center"/>
      <protection/>
    </xf>
    <xf numFmtId="0" fontId="0" fillId="0" borderId="11" xfId="56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3" fontId="8" fillId="35" borderId="11" xfId="57" applyNumberFormat="1" applyFont="1" applyFill="1" applyBorder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15" fillId="0" borderId="0" xfId="58" applyFont="1" applyAlignment="1">
      <alignment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14" fillId="0" borderId="0" xfId="58" applyFont="1" applyAlignment="1">
      <alignment horizontal="right"/>
      <protection/>
    </xf>
    <xf numFmtId="0" fontId="14" fillId="0" borderId="0" xfId="58" applyFont="1" applyBorder="1">
      <alignment/>
      <protection/>
    </xf>
    <xf numFmtId="0" fontId="15" fillId="0" borderId="0" xfId="58" applyFont="1" applyBorder="1" applyAlignment="1">
      <alignment horizontal="center" vertical="center"/>
      <protection/>
    </xf>
    <xf numFmtId="0" fontId="10" fillId="0" borderId="27" xfId="58" applyFont="1" applyBorder="1" applyAlignment="1">
      <alignment vertical="center"/>
      <protection/>
    </xf>
    <xf numFmtId="0" fontId="0" fillId="0" borderId="11" xfId="58" applyFont="1" applyBorder="1" applyAlignment="1">
      <alignment horizontal="center"/>
      <protection/>
    </xf>
    <xf numFmtId="0" fontId="11" fillId="34" borderId="16" xfId="58" applyFont="1" applyFill="1" applyBorder="1" applyAlignment="1">
      <alignment horizontal="center" vertical="center" wrapText="1"/>
      <protection/>
    </xf>
    <xf numFmtId="0" fontId="11" fillId="34" borderId="11" xfId="57" applyFont="1" applyFill="1" applyBorder="1" applyAlignment="1">
      <alignment horizontal="center" vertical="center" wrapText="1"/>
      <protection/>
    </xf>
    <xf numFmtId="0" fontId="11" fillId="34" borderId="11" xfId="57" applyFont="1" applyFill="1" applyBorder="1" applyAlignment="1">
      <alignment horizontal="center" vertical="center" textRotation="90" wrapText="1"/>
      <protection/>
    </xf>
    <xf numFmtId="0" fontId="11" fillId="34" borderId="11" xfId="58" applyFont="1" applyFill="1" applyBorder="1" applyAlignment="1">
      <alignment horizontal="center" vertical="center" textRotation="90"/>
      <protection/>
    </xf>
    <xf numFmtId="3" fontId="11" fillId="34" borderId="11" xfId="58" applyNumberFormat="1" applyFont="1" applyFill="1" applyBorder="1" applyAlignment="1">
      <alignment horizontal="right" vertical="center"/>
      <protection/>
    </xf>
    <xf numFmtId="3" fontId="0" fillId="0" borderId="11" xfId="58" applyNumberFormat="1" applyFont="1" applyBorder="1" applyAlignment="1" applyProtection="1">
      <alignment vertical="center"/>
      <protection locked="0"/>
    </xf>
    <xf numFmtId="3" fontId="0" fillId="0" borderId="11" xfId="58" applyNumberFormat="1" applyFont="1" applyFill="1" applyBorder="1" applyAlignment="1" applyProtection="1">
      <alignment vertical="center"/>
      <protection locked="0"/>
    </xf>
    <xf numFmtId="164" fontId="0" fillId="0" borderId="11" xfId="57" applyNumberFormat="1" applyFont="1" applyBorder="1" applyAlignment="1">
      <alignment horizontal="right" vertical="center" wrapText="1"/>
      <protection/>
    </xf>
    <xf numFmtId="3" fontId="0" fillId="0" borderId="11" xfId="57" applyNumberFormat="1" applyFont="1" applyBorder="1" applyAlignment="1" applyProtection="1">
      <alignment vertical="center"/>
      <protection locked="0"/>
    </xf>
    <xf numFmtId="3" fontId="0" fillId="35" borderId="11" xfId="57" applyNumberFormat="1" applyFont="1" applyFill="1" applyBorder="1" applyAlignment="1">
      <alignment horizontal="center" vertical="center" wrapText="1"/>
      <protection/>
    </xf>
    <xf numFmtId="164" fontId="0" fillId="35" borderId="11" xfId="57" applyNumberFormat="1" applyFont="1" applyFill="1" applyBorder="1" applyAlignment="1">
      <alignment horizontal="center" vertical="center" textRotation="90"/>
      <protection/>
    </xf>
    <xf numFmtId="3" fontId="0" fillId="35" borderId="11" xfId="5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3" fontId="12" fillId="34" borderId="11" xfId="0" applyNumberFormat="1" applyFont="1" applyFill="1" applyBorder="1" applyAlignment="1">
      <alignment vertical="center" wrapText="1"/>
    </xf>
    <xf numFmtId="3" fontId="12" fillId="34" borderId="11" xfId="0" applyNumberFormat="1" applyFont="1" applyFill="1" applyBorder="1" applyAlignment="1" applyProtection="1">
      <alignment vertical="center" wrapText="1"/>
      <protection/>
    </xf>
    <xf numFmtId="3" fontId="14" fillId="0" borderId="28" xfId="59" applyNumberFormat="1" applyFont="1" applyFill="1" applyBorder="1" applyAlignment="1">
      <alignment horizontal="left" vertical="center" wrapText="1"/>
      <protection/>
    </xf>
    <xf numFmtId="3" fontId="17" fillId="34" borderId="11" xfId="0" applyNumberFormat="1" applyFont="1" applyFill="1" applyBorder="1" applyAlignment="1">
      <alignment vertical="center" wrapText="1"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4" fillId="0" borderId="28" xfId="59" applyNumberFormat="1" applyFont="1" applyFill="1" applyBorder="1" applyAlignment="1">
      <alignment vertical="center" wrapText="1"/>
      <protection/>
    </xf>
    <xf numFmtId="49" fontId="14" fillId="0" borderId="28" xfId="59" applyNumberFormat="1" applyFont="1" applyFill="1" applyBorder="1" applyAlignment="1">
      <alignment horizontal="left" vertical="center" wrapText="1"/>
      <protection/>
    </xf>
    <xf numFmtId="3" fontId="14" fillId="0" borderId="11" xfId="59" applyNumberFormat="1" applyFont="1" applyFill="1" applyBorder="1" applyAlignment="1">
      <alignment vertical="center" wrapText="1"/>
      <protection/>
    </xf>
    <xf numFmtId="0" fontId="14" fillId="35" borderId="28" xfId="59" applyFont="1" applyFill="1" applyBorder="1" applyAlignment="1">
      <alignment vertical="center" wrapText="1"/>
      <protection/>
    </xf>
    <xf numFmtId="0" fontId="14" fillId="0" borderId="11" xfId="0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" fontId="12" fillId="34" borderId="11" xfId="0" applyNumberFormat="1" applyFont="1" applyFill="1" applyBorder="1" applyAlignment="1">
      <alignment vertical="center"/>
    </xf>
    <xf numFmtId="3" fontId="12" fillId="34" borderId="11" xfId="0" applyNumberFormat="1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>
      <alignment vertical="center" wrapText="1"/>
    </xf>
    <xf numFmtId="3" fontId="17" fillId="34" borderId="29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applyProtection="1">
      <alignment vertical="center"/>
      <protection/>
    </xf>
    <xf numFmtId="166" fontId="17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1" xfId="55" applyFont="1" applyFill="1" applyBorder="1" applyAlignment="1">
      <alignment horizontal="left" vertical="center" wrapText="1"/>
      <protection/>
    </xf>
    <xf numFmtId="166" fontId="17" fillId="0" borderId="11" xfId="55" applyNumberFormat="1" applyFont="1" applyFill="1" applyBorder="1" applyAlignment="1">
      <alignment vertical="center" wrapText="1"/>
      <protection/>
    </xf>
    <xf numFmtId="0" fontId="14" fillId="0" borderId="11" xfId="55" applyFont="1" applyFill="1" applyBorder="1" applyAlignment="1">
      <alignment vertical="center" wrapText="1"/>
      <protection/>
    </xf>
    <xf numFmtId="166" fontId="17" fillId="0" borderId="11" xfId="46" applyNumberFormat="1" applyFont="1" applyFill="1" applyBorder="1" applyAlignment="1" applyProtection="1">
      <alignment vertical="center"/>
      <protection/>
    </xf>
    <xf numFmtId="0" fontId="14" fillId="0" borderId="11" xfId="55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justify" vertical="center" wrapText="1"/>
    </xf>
    <xf numFmtId="166" fontId="17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4" fillId="34" borderId="16" xfId="0" applyFont="1" applyFill="1" applyBorder="1" applyAlignment="1">
      <alignment vertical="center" wrapText="1"/>
    </xf>
    <xf numFmtId="3" fontId="17" fillId="34" borderId="11" xfId="0" applyNumberFormat="1" applyFont="1" applyFill="1" applyBorder="1" applyAlignment="1" applyProtection="1">
      <alignment vertical="center"/>
      <protection/>
    </xf>
    <xf numFmtId="3" fontId="17" fillId="3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/>
    </xf>
    <xf numFmtId="3" fontId="17" fillId="35" borderId="11" xfId="0" applyNumberFormat="1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>
      <alignment vertical="center" wrapText="1"/>
    </xf>
    <xf numFmtId="3" fontId="15" fillId="34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 vertical="center" wrapText="1"/>
    </xf>
    <xf numFmtId="3" fontId="12" fillId="0" borderId="11" xfId="0" applyNumberFormat="1" applyFont="1" applyFill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11" xfId="0" applyFont="1" applyBorder="1" applyAlignment="1">
      <alignment vertical="center" wrapText="1"/>
    </xf>
    <xf numFmtId="11" fontId="14" fillId="0" borderId="11" xfId="0" applyNumberFormat="1" applyFont="1" applyFill="1" applyBorder="1" applyAlignment="1">
      <alignment vertical="center" wrapText="1"/>
    </xf>
    <xf numFmtId="49" fontId="14" fillId="0" borderId="11" xfId="0" applyNumberFormat="1" applyFont="1" applyBorder="1" applyAlignment="1">
      <alignment vertical="center" wrapText="1"/>
    </xf>
    <xf numFmtId="49" fontId="14" fillId="34" borderId="1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14" fillId="34" borderId="28" xfId="0" applyFont="1" applyFill="1" applyBorder="1" applyAlignment="1">
      <alignment vertical="center" wrapText="1"/>
    </xf>
    <xf numFmtId="3" fontId="12" fillId="34" borderId="11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11" xfId="0" applyFont="1" applyFill="1" applyBorder="1" applyAlignment="1">
      <alignment horizontal="justify" vertical="center" wrapText="1"/>
    </xf>
    <xf numFmtId="166" fontId="17" fillId="0" borderId="11" xfId="0" applyNumberFormat="1" applyFont="1" applyFill="1" applyBorder="1" applyAlignment="1">
      <alignment/>
    </xf>
    <xf numFmtId="0" fontId="0" fillId="0" borderId="0" xfId="56" applyFont="1" applyAlignment="1">
      <alignment horizontal="right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0" fontId="14" fillId="36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6" fillId="34" borderId="15" xfId="0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textRotation="90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3" fontId="0" fillId="35" borderId="11" xfId="57" applyNumberFormat="1" applyFont="1" applyFill="1" applyBorder="1" applyAlignment="1">
      <alignment horizontal="left" vertical="center" wrapText="1"/>
      <protection/>
    </xf>
    <xf numFmtId="3" fontId="11" fillId="34" borderId="11" xfId="57" applyNumberFormat="1" applyFont="1" applyFill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 vertical="center"/>
      <protection/>
    </xf>
    <xf numFmtId="0" fontId="0" fillId="0" borderId="0" xfId="56" applyFont="1">
      <alignment/>
      <protection/>
    </xf>
    <xf numFmtId="0" fontId="14" fillId="0" borderId="0" xfId="0" applyFont="1" applyBorder="1" applyAlignment="1">
      <alignment horizontal="right" vertical="center"/>
    </xf>
    <xf numFmtId="0" fontId="11" fillId="34" borderId="11" xfId="57" applyFont="1" applyFill="1" applyBorder="1" applyAlignment="1">
      <alignment horizontal="left" vertical="center" wrapText="1"/>
      <protection/>
    </xf>
    <xf numFmtId="3" fontId="11" fillId="34" borderId="11" xfId="57" applyNumberFormat="1" applyFont="1" applyFill="1" applyBorder="1" applyAlignment="1">
      <alignment horizontal="left" vertical="center"/>
      <protection/>
    </xf>
    <xf numFmtId="3" fontId="11" fillId="34" borderId="11" xfId="57" applyNumberFormat="1" applyFont="1" applyFill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 textRotation="90" wrapText="1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34" borderId="11" xfId="56" applyFont="1" applyFill="1" applyBorder="1" applyAlignment="1">
      <alignment horizontal="center" vertical="center" textRotation="90"/>
      <protection/>
    </xf>
    <xf numFmtId="0" fontId="8" fillId="34" borderId="11" xfId="57" applyFont="1" applyFill="1" applyBorder="1" applyAlignment="1">
      <alignment horizontal="center" vertical="center" wrapText="1"/>
      <protection/>
    </xf>
    <xf numFmtId="0" fontId="8" fillId="34" borderId="11" xfId="57" applyFont="1" applyFill="1" applyBorder="1" applyAlignment="1">
      <alignment horizontal="center" vertical="center" textRotation="90" wrapText="1"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34" borderId="16" xfId="56" applyFont="1" applyFill="1" applyBorder="1" applyAlignment="1">
      <alignment horizontal="center" vertical="center" textRotation="90"/>
      <protection/>
    </xf>
    <xf numFmtId="0" fontId="8" fillId="34" borderId="11" xfId="56" applyFont="1" applyFill="1" applyBorder="1" applyAlignment="1">
      <alignment horizontal="center" vertical="center" textRotation="90"/>
      <protection/>
    </xf>
    <xf numFmtId="49" fontId="0" fillId="0" borderId="11" xfId="58" applyNumberFormat="1" applyFont="1" applyBorder="1" applyAlignment="1">
      <alignment horizontal="center" vertical="center" wrapText="1"/>
      <protection/>
    </xf>
    <xf numFmtId="0" fontId="11" fillId="34" borderId="11" xfId="57" applyFont="1" applyFill="1" applyBorder="1" applyAlignment="1">
      <alignment horizontal="center" vertical="center" wrapText="1"/>
      <protection/>
    </xf>
    <xf numFmtId="164" fontId="0" fillId="0" borderId="11" xfId="57" applyNumberFormat="1" applyFont="1" applyBorder="1" applyAlignment="1">
      <alignment horizontal="center" vertical="center" wrapText="1"/>
      <protection/>
    </xf>
    <xf numFmtId="0" fontId="16" fillId="0" borderId="0" xfId="58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textRotation="90" wrapText="1"/>
    </xf>
    <xf numFmtId="0" fontId="0" fillId="34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textRotation="90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textRotation="90"/>
    </xf>
    <xf numFmtId="0" fontId="17" fillId="0" borderId="0" xfId="0" applyFont="1" applyBorder="1" applyAlignment="1">
      <alignment horizont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Input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_adósság régi tábla" xfId="56"/>
    <cellStyle name="Normál_Csilla1" xfId="57"/>
    <cellStyle name="Normál_Lalának-adósság új szerint 245-290" xfId="58"/>
    <cellStyle name="Normál_Melléklet-5_III_1 számú (1)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:U1"/>
    </sheetView>
  </sheetViews>
  <sheetFormatPr defaultColWidth="9.00390625" defaultRowHeight="12.75"/>
  <cols>
    <col min="1" max="1" width="7.8515625" style="1" customWidth="1"/>
    <col min="2" max="2" width="23.8515625" style="1" customWidth="1"/>
    <col min="3" max="3" width="54.00390625" style="1" customWidth="1"/>
    <col min="4" max="4" width="25.421875" style="1" customWidth="1"/>
    <col min="5" max="6" width="18.7109375" style="1" customWidth="1"/>
    <col min="7" max="7" width="21.7109375" style="1" customWidth="1"/>
    <col min="8" max="8" width="18.7109375" style="1" customWidth="1"/>
    <col min="9" max="9" width="22.00390625" style="1" customWidth="1"/>
    <col min="10" max="10" width="21.28125" style="1" customWidth="1"/>
    <col min="11" max="11" width="18.7109375" style="1" customWidth="1"/>
    <col min="12" max="12" width="23.28125" style="1" customWidth="1"/>
    <col min="13" max="13" width="29.28125" style="1" customWidth="1"/>
    <col min="14" max="14" width="28.421875" style="1" customWidth="1"/>
    <col min="15" max="15" width="33.7109375" style="1" customWidth="1"/>
    <col min="16" max="16" width="26.8515625" style="1" customWidth="1"/>
    <col min="17" max="17" width="20.7109375" style="1" customWidth="1"/>
    <col min="18" max="18" width="24.7109375" style="1" customWidth="1"/>
    <col min="19" max="19" width="21.421875" style="1" customWidth="1"/>
    <col min="20" max="20" width="20.57421875" style="1" customWidth="1"/>
    <col min="21" max="21" width="31.28125" style="1" customWidth="1"/>
    <col min="22" max="16384" width="9.00390625" style="1" customWidth="1"/>
  </cols>
  <sheetData>
    <row r="1" spans="1:21" ht="20.25">
      <c r="A1" s="185" t="s">
        <v>1132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20.25">
      <c r="A2" s="178" t="s">
        <v>1032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41.25" customHeight="1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1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U4" s="3" t="s">
        <v>1</v>
      </c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U5" s="3"/>
    </row>
    <row r="6" spans="1:21" ht="20.25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5" t="s">
        <v>5</v>
      </c>
      <c r="N6" s="6" t="s">
        <v>6</v>
      </c>
      <c r="O6" s="6" t="s">
        <v>7</v>
      </c>
      <c r="P6" s="6" t="s">
        <v>8</v>
      </c>
      <c r="Q6" s="6" t="s">
        <v>9</v>
      </c>
      <c r="R6" s="6" t="s">
        <v>10</v>
      </c>
      <c r="S6" s="6" t="s">
        <v>11</v>
      </c>
      <c r="T6" s="6" t="s">
        <v>12</v>
      </c>
      <c r="U6" s="6" t="s">
        <v>13</v>
      </c>
    </row>
    <row r="7" spans="1:21" s="7" customFormat="1" ht="16.5" customHeight="1">
      <c r="A7" s="187" t="s">
        <v>14</v>
      </c>
      <c r="B7" s="187" t="s">
        <v>15</v>
      </c>
      <c r="C7" s="188" t="s">
        <v>16</v>
      </c>
      <c r="D7" s="189" t="s">
        <v>17</v>
      </c>
      <c r="E7" s="190" t="s">
        <v>18</v>
      </c>
      <c r="F7" s="190"/>
      <c r="G7" s="190"/>
      <c r="H7" s="190"/>
      <c r="I7" s="190"/>
      <c r="J7" s="190"/>
      <c r="K7" s="190"/>
      <c r="L7" s="190"/>
      <c r="M7" s="189" t="s">
        <v>19</v>
      </c>
      <c r="N7" s="190" t="s">
        <v>20</v>
      </c>
      <c r="O7" s="190"/>
      <c r="P7" s="190"/>
      <c r="Q7" s="190"/>
      <c r="R7" s="190"/>
      <c r="S7" s="190"/>
      <c r="T7" s="190"/>
      <c r="U7" s="190"/>
    </row>
    <row r="8" spans="1:21" s="7" customFormat="1" ht="19.5" customHeight="1">
      <c r="A8" s="187"/>
      <c r="B8" s="187"/>
      <c r="C8" s="188"/>
      <c r="D8" s="189"/>
      <c r="E8" s="184" t="s">
        <v>21</v>
      </c>
      <c r="F8" s="184"/>
      <c r="G8" s="184"/>
      <c r="H8" s="184"/>
      <c r="I8" s="184"/>
      <c r="J8" s="184" t="s">
        <v>22</v>
      </c>
      <c r="K8" s="184"/>
      <c r="L8" s="184"/>
      <c r="M8" s="189"/>
      <c r="N8" s="184" t="s">
        <v>21</v>
      </c>
      <c r="O8" s="184"/>
      <c r="P8" s="184"/>
      <c r="Q8" s="184"/>
      <c r="R8" s="184"/>
      <c r="S8" s="184" t="s">
        <v>22</v>
      </c>
      <c r="T8" s="184"/>
      <c r="U8" s="184"/>
    </row>
    <row r="9" spans="1:21" s="7" customFormat="1" ht="141.75">
      <c r="A9" s="187"/>
      <c r="B9" s="187"/>
      <c r="C9" s="188"/>
      <c r="D9" s="189"/>
      <c r="E9" s="8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8" t="s">
        <v>29</v>
      </c>
      <c r="L9" s="8" t="s">
        <v>30</v>
      </c>
      <c r="M9" s="189"/>
      <c r="N9" s="8" t="s">
        <v>23</v>
      </c>
      <c r="O9" s="8" t="s">
        <v>24</v>
      </c>
      <c r="P9" s="8" t="s">
        <v>25</v>
      </c>
      <c r="Q9" s="8" t="s">
        <v>26</v>
      </c>
      <c r="R9" s="8" t="s">
        <v>27</v>
      </c>
      <c r="S9" s="8" t="s">
        <v>28</v>
      </c>
      <c r="T9" s="8" t="s">
        <v>29</v>
      </c>
      <c r="U9" s="8" t="s">
        <v>30</v>
      </c>
    </row>
    <row r="10" spans="1:21" s="7" customFormat="1" ht="18" customHeight="1">
      <c r="A10" s="9" t="s">
        <v>31</v>
      </c>
      <c r="B10" s="179" t="s">
        <v>32</v>
      </c>
      <c r="C10" s="179"/>
      <c r="D10" s="10">
        <f aca="true" t="shared" si="0" ref="D10:D41">SUM(E10:L10)</f>
        <v>186905000</v>
      </c>
      <c r="E10" s="10">
        <f aca="true" t="shared" si="1" ref="E10:L10">SUM(E11:E13)</f>
        <v>0</v>
      </c>
      <c r="F10" s="10">
        <f t="shared" si="1"/>
        <v>0</v>
      </c>
      <c r="G10" s="10">
        <f t="shared" si="1"/>
        <v>74875000</v>
      </c>
      <c r="H10" s="10">
        <f t="shared" si="1"/>
        <v>0</v>
      </c>
      <c r="I10" s="10">
        <f t="shared" si="1"/>
        <v>7030000</v>
      </c>
      <c r="J10" s="10">
        <f t="shared" si="1"/>
        <v>0</v>
      </c>
      <c r="K10" s="10">
        <f t="shared" si="1"/>
        <v>0</v>
      </c>
      <c r="L10" s="10">
        <f t="shared" si="1"/>
        <v>105000000</v>
      </c>
      <c r="M10" s="10">
        <f aca="true" t="shared" si="2" ref="M10:M41">SUM(N10:U10)</f>
        <v>211905000</v>
      </c>
      <c r="N10" s="10">
        <f aca="true" t="shared" si="3" ref="N10:U10">SUM(N11:N13)</f>
        <v>0</v>
      </c>
      <c r="O10" s="10">
        <f t="shared" si="3"/>
        <v>0</v>
      </c>
      <c r="P10" s="10">
        <f t="shared" si="3"/>
        <v>99875000</v>
      </c>
      <c r="Q10" s="10">
        <f t="shared" si="3"/>
        <v>0</v>
      </c>
      <c r="R10" s="10">
        <f t="shared" si="3"/>
        <v>7030000</v>
      </c>
      <c r="S10" s="10">
        <f t="shared" si="3"/>
        <v>0</v>
      </c>
      <c r="T10" s="10">
        <f t="shared" si="3"/>
        <v>0</v>
      </c>
      <c r="U10" s="10">
        <f t="shared" si="3"/>
        <v>105000000</v>
      </c>
    </row>
    <row r="11" spans="1:21" s="7" customFormat="1" ht="20.25">
      <c r="A11" s="180"/>
      <c r="B11" s="11" t="s">
        <v>33</v>
      </c>
      <c r="C11" s="12" t="s">
        <v>34</v>
      </c>
      <c r="D11" s="13">
        <f t="shared" si="0"/>
        <v>186905000</v>
      </c>
      <c r="E11" s="14">
        <v>0</v>
      </c>
      <c r="F11" s="15">
        <v>0</v>
      </c>
      <c r="G11" s="15">
        <f>'5.1 D'!N15</f>
        <v>74875000</v>
      </c>
      <c r="H11" s="15">
        <v>0</v>
      </c>
      <c r="I11" s="15">
        <f>'5.1 FT, MT'!P22</f>
        <v>7030000</v>
      </c>
      <c r="J11" s="15">
        <v>0</v>
      </c>
      <c r="K11" s="15">
        <v>0</v>
      </c>
      <c r="L11" s="16">
        <f>'5.1 FT, MT'!P12</f>
        <v>105000000</v>
      </c>
      <c r="M11" s="13">
        <f t="shared" si="2"/>
        <v>211905000</v>
      </c>
      <c r="N11" s="14">
        <v>0</v>
      </c>
      <c r="O11" s="15">
        <v>0</v>
      </c>
      <c r="P11" s="15">
        <f>'5.1. Adósság'!Y11+'5.1. Adósság'!Y14</f>
        <v>99875000</v>
      </c>
      <c r="Q11" s="15">
        <v>0</v>
      </c>
      <c r="R11" s="15">
        <f>'5.1. Adósság'!Y19</f>
        <v>7030000</v>
      </c>
      <c r="S11" s="15">
        <v>0</v>
      </c>
      <c r="T11" s="15">
        <v>0</v>
      </c>
      <c r="U11" s="16">
        <f>'5.1. Adósság'!Y16</f>
        <v>105000000</v>
      </c>
    </row>
    <row r="12" spans="1:21" s="7" customFormat="1" ht="20.25">
      <c r="A12" s="180"/>
      <c r="B12" s="11" t="s">
        <v>35</v>
      </c>
      <c r="C12" s="12" t="s">
        <v>36</v>
      </c>
      <c r="D12" s="17">
        <f t="shared" si="0"/>
        <v>0</v>
      </c>
      <c r="E12" s="18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17">
        <f t="shared" si="2"/>
        <v>0</v>
      </c>
      <c r="N12" s="18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20">
        <v>0</v>
      </c>
    </row>
    <row r="13" spans="1:21" s="7" customFormat="1" ht="20.25">
      <c r="A13" s="180"/>
      <c r="B13" s="11" t="s">
        <v>37</v>
      </c>
      <c r="C13" s="21" t="s">
        <v>38</v>
      </c>
      <c r="D13" s="17">
        <f t="shared" si="0"/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0</v>
      </c>
      <c r="M13" s="17">
        <f t="shared" si="2"/>
        <v>0</v>
      </c>
      <c r="N13" s="22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4">
        <v>0</v>
      </c>
    </row>
    <row r="14" spans="1:21" s="7" customFormat="1" ht="99.75" customHeight="1">
      <c r="A14" s="9" t="s">
        <v>39</v>
      </c>
      <c r="B14" s="179" t="s">
        <v>1081</v>
      </c>
      <c r="C14" s="179"/>
      <c r="D14" s="10">
        <f t="shared" si="0"/>
        <v>127985000</v>
      </c>
      <c r="E14" s="10">
        <f aca="true" t="shared" si="4" ref="E14:L14">SUM(E15:E17)</f>
        <v>94647000</v>
      </c>
      <c r="F14" s="10">
        <f t="shared" si="4"/>
        <v>25470000</v>
      </c>
      <c r="G14" s="10">
        <f t="shared" si="4"/>
        <v>6868000</v>
      </c>
      <c r="H14" s="10">
        <f t="shared" si="4"/>
        <v>0</v>
      </c>
      <c r="I14" s="10">
        <f t="shared" si="4"/>
        <v>0</v>
      </c>
      <c r="J14" s="10">
        <f t="shared" si="4"/>
        <v>1000000</v>
      </c>
      <c r="K14" s="10">
        <f t="shared" si="4"/>
        <v>0</v>
      </c>
      <c r="L14" s="10">
        <f t="shared" si="4"/>
        <v>0</v>
      </c>
      <c r="M14" s="10">
        <f t="shared" si="2"/>
        <v>181630000</v>
      </c>
      <c r="N14" s="10">
        <f aca="true" t="shared" si="5" ref="N14:U14">SUM(N15:N17)</f>
        <v>136854000</v>
      </c>
      <c r="O14" s="10">
        <f t="shared" si="5"/>
        <v>36908000</v>
      </c>
      <c r="P14" s="10">
        <f t="shared" si="5"/>
        <v>6868000</v>
      </c>
      <c r="Q14" s="10">
        <f t="shared" si="5"/>
        <v>0</v>
      </c>
      <c r="R14" s="10">
        <f t="shared" si="5"/>
        <v>0</v>
      </c>
      <c r="S14" s="10">
        <f t="shared" si="5"/>
        <v>1000000</v>
      </c>
      <c r="T14" s="10">
        <f t="shared" si="5"/>
        <v>0</v>
      </c>
      <c r="U14" s="10">
        <f t="shared" si="5"/>
        <v>0</v>
      </c>
    </row>
    <row r="15" spans="1:21" s="7" customFormat="1" ht="20.25">
      <c r="A15" s="180"/>
      <c r="B15" s="11" t="s">
        <v>40</v>
      </c>
      <c r="C15" s="12" t="s">
        <v>34</v>
      </c>
      <c r="D15" s="17">
        <f t="shared" si="0"/>
        <v>120117000</v>
      </c>
      <c r="E15" s="14">
        <v>94647000</v>
      </c>
      <c r="F15" s="15">
        <v>25470000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17">
        <f t="shared" si="2"/>
        <v>173762000</v>
      </c>
      <c r="N15" s="14">
        <v>136854000</v>
      </c>
      <c r="O15" s="15">
        <v>36908000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6">
        <v>0</v>
      </c>
    </row>
    <row r="16" spans="1:21" s="7" customFormat="1" ht="20.25">
      <c r="A16" s="180"/>
      <c r="B16" s="11" t="s">
        <v>41</v>
      </c>
      <c r="C16" s="12" t="s">
        <v>36</v>
      </c>
      <c r="D16" s="17">
        <f t="shared" si="0"/>
        <v>7868000</v>
      </c>
      <c r="E16" s="18">
        <v>0</v>
      </c>
      <c r="F16" s="19">
        <v>0</v>
      </c>
      <c r="G16" s="25">
        <v>6868000</v>
      </c>
      <c r="H16" s="19">
        <v>0</v>
      </c>
      <c r="I16" s="19">
        <v>0</v>
      </c>
      <c r="J16" s="19">
        <v>1000000</v>
      </c>
      <c r="K16" s="19">
        <v>0</v>
      </c>
      <c r="L16" s="20">
        <v>0</v>
      </c>
      <c r="M16" s="17">
        <f t="shared" si="2"/>
        <v>7868000</v>
      </c>
      <c r="N16" s="18">
        <v>0</v>
      </c>
      <c r="O16" s="19">
        <v>0</v>
      </c>
      <c r="P16" s="25">
        <v>6868000</v>
      </c>
      <c r="Q16" s="19">
        <v>0</v>
      </c>
      <c r="R16" s="19">
        <v>0</v>
      </c>
      <c r="S16" s="19">
        <v>1000000</v>
      </c>
      <c r="T16" s="19">
        <v>0</v>
      </c>
      <c r="U16" s="20">
        <v>0</v>
      </c>
    </row>
    <row r="17" spans="1:21" s="7" customFormat="1" ht="20.25">
      <c r="A17" s="180"/>
      <c r="B17" s="11" t="s">
        <v>42</v>
      </c>
      <c r="C17" s="21" t="s">
        <v>38</v>
      </c>
      <c r="D17" s="17">
        <f t="shared" si="0"/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17">
        <f t="shared" si="2"/>
        <v>0</v>
      </c>
      <c r="N17" s="22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4">
        <v>0</v>
      </c>
    </row>
    <row r="18" spans="1:21" s="7" customFormat="1" ht="18" customHeight="1">
      <c r="A18" s="9" t="s">
        <v>43</v>
      </c>
      <c r="B18" s="179" t="s">
        <v>44</v>
      </c>
      <c r="C18" s="179"/>
      <c r="D18" s="10">
        <f t="shared" si="0"/>
        <v>2093850000</v>
      </c>
      <c r="E18" s="10">
        <f aca="true" t="shared" si="6" ref="E18:L18">SUM(E19:E21)</f>
        <v>0</v>
      </c>
      <c r="F18" s="10">
        <f t="shared" si="6"/>
        <v>0</v>
      </c>
      <c r="G18" s="10">
        <f t="shared" si="6"/>
        <v>1771850000</v>
      </c>
      <c r="H18" s="10">
        <f t="shared" si="6"/>
        <v>0</v>
      </c>
      <c r="I18" s="10">
        <f t="shared" si="6"/>
        <v>270500000</v>
      </c>
      <c r="J18" s="10">
        <f t="shared" si="6"/>
        <v>26500000</v>
      </c>
      <c r="K18" s="10">
        <f t="shared" si="6"/>
        <v>25000000</v>
      </c>
      <c r="L18" s="10">
        <f t="shared" si="6"/>
        <v>0</v>
      </c>
      <c r="M18" s="10">
        <f t="shared" si="2"/>
        <v>2574793616</v>
      </c>
      <c r="N18" s="10">
        <f aca="true" t="shared" si="7" ref="N18:U18">SUM(N19:N21)</f>
        <v>0</v>
      </c>
      <c r="O18" s="10">
        <f t="shared" si="7"/>
        <v>0</v>
      </c>
      <c r="P18" s="10">
        <f t="shared" si="7"/>
        <v>2233377964</v>
      </c>
      <c r="Q18" s="10">
        <f t="shared" si="7"/>
        <v>0</v>
      </c>
      <c r="R18" s="10">
        <f t="shared" si="7"/>
        <v>301548680</v>
      </c>
      <c r="S18" s="10">
        <f t="shared" si="7"/>
        <v>34866972</v>
      </c>
      <c r="T18" s="10">
        <f t="shared" si="7"/>
        <v>5000000</v>
      </c>
      <c r="U18" s="10">
        <f t="shared" si="7"/>
        <v>0</v>
      </c>
    </row>
    <row r="19" spans="1:21" s="7" customFormat="1" ht="20.25">
      <c r="A19" s="180"/>
      <c r="B19" s="11" t="s">
        <v>45</v>
      </c>
      <c r="C19" s="12" t="s">
        <v>34</v>
      </c>
      <c r="D19" s="17">
        <f t="shared" si="0"/>
        <v>1772600000</v>
      </c>
      <c r="E19" s="14">
        <f>'5.2.Városüzem'!E11</f>
        <v>0</v>
      </c>
      <c r="F19" s="15">
        <f>'5.2.Városüzem'!F11</f>
        <v>0</v>
      </c>
      <c r="G19" s="15">
        <f>'5.2.Városüzem'!G11</f>
        <v>1532100000</v>
      </c>
      <c r="H19" s="15">
        <f>'5.2.Városüzem'!H11</f>
        <v>0</v>
      </c>
      <c r="I19" s="15">
        <f>'5.2.Városüzem'!I11</f>
        <v>215500000</v>
      </c>
      <c r="J19" s="15">
        <f>'5.2.Városüzem'!J11</f>
        <v>0</v>
      </c>
      <c r="K19" s="15">
        <f>'5.2.Városüzem'!K11</f>
        <v>25000000</v>
      </c>
      <c r="L19" s="26">
        <f>'5.2.Városüzem'!L11</f>
        <v>0</v>
      </c>
      <c r="M19" s="17">
        <f t="shared" si="2"/>
        <v>2223543054</v>
      </c>
      <c r="N19" s="14">
        <f>'5.2.Városüzem'!N11</f>
        <v>0</v>
      </c>
      <c r="O19" s="14">
        <f>'5.2.Városüzem'!O11</f>
        <v>0</v>
      </c>
      <c r="P19" s="14">
        <f>'5.2.Városüzem'!P11</f>
        <v>1965327582</v>
      </c>
      <c r="Q19" s="14">
        <f>'5.2.Városüzem'!Q11</f>
        <v>0</v>
      </c>
      <c r="R19" s="14">
        <f>'5.2.Városüzem'!R11</f>
        <v>246262010</v>
      </c>
      <c r="S19" s="14">
        <f>'5.2.Városüzem'!S11</f>
        <v>6953462</v>
      </c>
      <c r="T19" s="14">
        <f>'5.2.Városüzem'!T11</f>
        <v>5000000</v>
      </c>
      <c r="U19" s="14">
        <f>'5.2.Városüzem'!U11</f>
        <v>0</v>
      </c>
    </row>
    <row r="20" spans="1:21" s="7" customFormat="1" ht="20.25">
      <c r="A20" s="180"/>
      <c r="B20" s="11" t="s">
        <v>46</v>
      </c>
      <c r="C20" s="12" t="s">
        <v>36</v>
      </c>
      <c r="D20" s="17">
        <f t="shared" si="0"/>
        <v>266250000</v>
      </c>
      <c r="E20" s="18">
        <f>'5.2.Városüzem'!E42</f>
        <v>0</v>
      </c>
      <c r="F20" s="19">
        <f>'5.2.Városüzem'!F42</f>
        <v>0</v>
      </c>
      <c r="G20" s="19">
        <f>'5.2.Városüzem'!G42</f>
        <v>239750000</v>
      </c>
      <c r="H20" s="19">
        <f>'5.2.Városüzem'!H42</f>
        <v>0</v>
      </c>
      <c r="I20" s="19">
        <f>'5.2.Városüzem'!I42</f>
        <v>0</v>
      </c>
      <c r="J20" s="19">
        <f>'5.2.Városüzem'!J42</f>
        <v>26500000</v>
      </c>
      <c r="K20" s="19">
        <f>'5.2.Városüzem'!K42</f>
        <v>0</v>
      </c>
      <c r="L20" s="27">
        <f>'5.2.Városüzem'!L42</f>
        <v>0</v>
      </c>
      <c r="M20" s="17">
        <f t="shared" si="2"/>
        <v>295963892</v>
      </c>
      <c r="N20" s="14">
        <f>'5.2.Városüzem'!N42</f>
        <v>0</v>
      </c>
      <c r="O20" s="14">
        <f>'5.2.Városüzem'!O42</f>
        <v>0</v>
      </c>
      <c r="P20" s="14">
        <f>'5.2.Városüzem'!P42</f>
        <v>268050382</v>
      </c>
      <c r="Q20" s="14">
        <f>'5.2.Városüzem'!Q42</f>
        <v>0</v>
      </c>
      <c r="R20" s="14">
        <f>'5.2.Városüzem'!R42</f>
        <v>0</v>
      </c>
      <c r="S20" s="14">
        <f>'5.2.Városüzem'!S42</f>
        <v>27913510</v>
      </c>
      <c r="T20" s="14">
        <f>'5.2.Városüzem'!T42</f>
        <v>0</v>
      </c>
      <c r="U20" s="14">
        <f>'5.2.Városüzem'!U42</f>
        <v>0</v>
      </c>
    </row>
    <row r="21" spans="1:21" s="7" customFormat="1" ht="20.25">
      <c r="A21" s="180"/>
      <c r="B21" s="11" t="s">
        <v>47</v>
      </c>
      <c r="C21" s="21" t="s">
        <v>38</v>
      </c>
      <c r="D21" s="17">
        <f t="shared" si="0"/>
        <v>55000000</v>
      </c>
      <c r="E21" s="22">
        <f>'5.2.Városüzem'!E60</f>
        <v>0</v>
      </c>
      <c r="F21" s="23">
        <f>'5.2.Városüzem'!F60</f>
        <v>0</v>
      </c>
      <c r="G21" s="23">
        <f>'5.2.Városüzem'!G60</f>
        <v>0</v>
      </c>
      <c r="H21" s="23">
        <f>'5.2.Városüzem'!H60</f>
        <v>0</v>
      </c>
      <c r="I21" s="23">
        <f>'5.2.Városüzem'!I60</f>
        <v>55000000</v>
      </c>
      <c r="J21" s="23">
        <f>'5.2.Városüzem'!J60</f>
        <v>0</v>
      </c>
      <c r="K21" s="23">
        <f>'5.2.Városüzem'!K60</f>
        <v>0</v>
      </c>
      <c r="L21" s="28">
        <f>'5.2.Városüzem'!L60</f>
        <v>0</v>
      </c>
      <c r="M21" s="17">
        <f t="shared" si="2"/>
        <v>55286670</v>
      </c>
      <c r="N21" s="14">
        <f>'5.2.Városüzem'!N60</f>
        <v>0</v>
      </c>
      <c r="O21" s="14">
        <f>'5.2.Városüzem'!O60</f>
        <v>0</v>
      </c>
      <c r="P21" s="14">
        <f>'5.2.Városüzem'!P60</f>
        <v>0</v>
      </c>
      <c r="Q21" s="14">
        <f>'5.2.Városüzem'!Q60</f>
        <v>0</v>
      </c>
      <c r="R21" s="14">
        <f>'5.2.Városüzem'!R60</f>
        <v>55286670</v>
      </c>
      <c r="S21" s="14">
        <f>'5.2.Városüzem'!S60</f>
        <v>0</v>
      </c>
      <c r="T21" s="14">
        <f>'5.2.Városüzem'!T60</f>
        <v>0</v>
      </c>
      <c r="U21" s="14">
        <f>'5.2.Városüzem'!U60</f>
        <v>0</v>
      </c>
    </row>
    <row r="22" spans="1:21" s="7" customFormat="1" ht="18" customHeight="1">
      <c r="A22" s="9" t="s">
        <v>48</v>
      </c>
      <c r="B22" s="179" t="s">
        <v>49</v>
      </c>
      <c r="C22" s="179"/>
      <c r="D22" s="10">
        <f t="shared" si="0"/>
        <v>1821323000</v>
      </c>
      <c r="E22" s="10">
        <f aca="true" t="shared" si="8" ref="E22:L22">SUM(E23:E25)</f>
        <v>0</v>
      </c>
      <c r="F22" s="10">
        <f t="shared" si="8"/>
        <v>0</v>
      </c>
      <c r="G22" s="10">
        <f t="shared" si="8"/>
        <v>35000000</v>
      </c>
      <c r="H22" s="10">
        <f t="shared" si="8"/>
        <v>0</v>
      </c>
      <c r="I22" s="10">
        <f t="shared" si="8"/>
        <v>0</v>
      </c>
      <c r="J22" s="10">
        <f t="shared" si="8"/>
        <v>1370498000</v>
      </c>
      <c r="K22" s="10">
        <f t="shared" si="8"/>
        <v>279825000</v>
      </c>
      <c r="L22" s="10">
        <f t="shared" si="8"/>
        <v>136000000</v>
      </c>
      <c r="M22" s="10">
        <f t="shared" si="2"/>
        <v>2592271901</v>
      </c>
      <c r="N22" s="10">
        <f aca="true" t="shared" si="9" ref="N22:U22">SUM(N23:N25)</f>
        <v>28000</v>
      </c>
      <c r="O22" s="10">
        <f t="shared" si="9"/>
        <v>0</v>
      </c>
      <c r="P22" s="10">
        <f t="shared" si="9"/>
        <v>77767585</v>
      </c>
      <c r="Q22" s="10">
        <f t="shared" si="9"/>
        <v>0</v>
      </c>
      <c r="R22" s="10">
        <f t="shared" si="9"/>
        <v>1500000</v>
      </c>
      <c r="S22" s="10">
        <f t="shared" si="9"/>
        <v>2052265303</v>
      </c>
      <c r="T22" s="10">
        <f t="shared" si="9"/>
        <v>328612958</v>
      </c>
      <c r="U22" s="10">
        <f t="shared" si="9"/>
        <v>132098055</v>
      </c>
    </row>
    <row r="23" spans="1:21" s="7" customFormat="1" ht="20.25">
      <c r="A23" s="180"/>
      <c r="B23" s="11" t="s">
        <v>50</v>
      </c>
      <c r="C23" s="12" t="s">
        <v>34</v>
      </c>
      <c r="D23" s="17">
        <f t="shared" si="0"/>
        <v>0</v>
      </c>
      <c r="E23" s="15">
        <f>'5.3. Beruházás'!E10</f>
        <v>0</v>
      </c>
      <c r="F23" s="15">
        <f>'5.3. Beruházás'!F10</f>
        <v>0</v>
      </c>
      <c r="G23" s="15">
        <f>'5.3. Beruházás'!G10</f>
        <v>0</v>
      </c>
      <c r="H23" s="15">
        <f>'5.3. Beruházás'!H10</f>
        <v>0</v>
      </c>
      <c r="I23" s="15">
        <f>'5.3. Beruházás'!I10</f>
        <v>0</v>
      </c>
      <c r="J23" s="15">
        <f>'5.3. Beruházás'!J10</f>
        <v>0</v>
      </c>
      <c r="K23" s="15">
        <f>'5.3. Beruházás'!K10</f>
        <v>0</v>
      </c>
      <c r="L23" s="26">
        <f>'5.3. Beruházás'!L10</f>
        <v>0</v>
      </c>
      <c r="M23" s="17">
        <f t="shared" si="2"/>
        <v>0</v>
      </c>
      <c r="N23" s="15">
        <f>'5.3. Beruházás'!N10</f>
        <v>0</v>
      </c>
      <c r="O23" s="15">
        <f>'5.3. Beruházás'!O10</f>
        <v>0</v>
      </c>
      <c r="P23" s="15">
        <f>'5.3. Beruházás'!P10</f>
        <v>0</v>
      </c>
      <c r="Q23" s="15">
        <f>'5.3. Beruházás'!Q10</f>
        <v>0</v>
      </c>
      <c r="R23" s="15">
        <f>'5.3. Beruházás'!R10</f>
        <v>0</v>
      </c>
      <c r="S23" s="15">
        <f>'5.3. Beruházás'!S10</f>
        <v>0</v>
      </c>
      <c r="T23" s="15">
        <f>'5.3. Beruházás'!T10</f>
        <v>0</v>
      </c>
      <c r="U23" s="26">
        <f>'5.3. Beruházás'!U10</f>
        <v>0</v>
      </c>
    </row>
    <row r="24" spans="1:21" s="7" customFormat="1" ht="20.25">
      <c r="A24" s="180"/>
      <c r="B24" s="11" t="s">
        <v>51</v>
      </c>
      <c r="C24" s="12" t="s">
        <v>36</v>
      </c>
      <c r="D24" s="17">
        <f t="shared" si="0"/>
        <v>1821323000</v>
      </c>
      <c r="E24" s="15">
        <f>'5.3. Beruházás'!E11</f>
        <v>0</v>
      </c>
      <c r="F24" s="15">
        <f>'5.3. Beruházás'!F11</f>
        <v>0</v>
      </c>
      <c r="G24" s="15">
        <f>'5.3. Beruházás'!G11</f>
        <v>35000000</v>
      </c>
      <c r="H24" s="15">
        <f>'5.3. Beruházás'!H11</f>
        <v>0</v>
      </c>
      <c r="I24" s="15">
        <f>'5.3. Beruházás'!I11</f>
        <v>0</v>
      </c>
      <c r="J24" s="15">
        <f>'5.3. Beruházás'!J11</f>
        <v>1370498000</v>
      </c>
      <c r="K24" s="15">
        <f>'5.3. Beruházás'!K11</f>
        <v>279825000</v>
      </c>
      <c r="L24" s="26">
        <f>'5.3. Beruházás'!L11</f>
        <v>136000000</v>
      </c>
      <c r="M24" s="17">
        <f t="shared" si="2"/>
        <v>2592271901</v>
      </c>
      <c r="N24" s="15">
        <f>'5.3. Beruházás'!N11</f>
        <v>28000</v>
      </c>
      <c r="O24" s="15">
        <f>'5.3. Beruházás'!O11</f>
        <v>0</v>
      </c>
      <c r="P24" s="15">
        <f>'5.3. Beruházás'!P11</f>
        <v>77767585</v>
      </c>
      <c r="Q24" s="15">
        <f>'5.3. Beruházás'!Q11</f>
        <v>0</v>
      </c>
      <c r="R24" s="15">
        <f>'5.3. Beruházás'!R11</f>
        <v>1500000</v>
      </c>
      <c r="S24" s="15">
        <f>'5.3. Beruházás'!S11</f>
        <v>2052265303</v>
      </c>
      <c r="T24" s="15">
        <f>'5.3. Beruházás'!T11</f>
        <v>328612958</v>
      </c>
      <c r="U24" s="26">
        <f>'5.3. Beruházás'!U11</f>
        <v>132098055</v>
      </c>
    </row>
    <row r="25" spans="1:21" s="7" customFormat="1" ht="20.25">
      <c r="A25" s="180"/>
      <c r="B25" s="11" t="s">
        <v>52</v>
      </c>
      <c r="C25" s="21" t="s">
        <v>38</v>
      </c>
      <c r="D25" s="17">
        <f t="shared" si="0"/>
        <v>0</v>
      </c>
      <c r="E25" s="23">
        <f>'5.3. Beruházás'!E140</f>
        <v>0</v>
      </c>
      <c r="F25" s="23">
        <f>'5.3. Beruházás'!F140</f>
        <v>0</v>
      </c>
      <c r="G25" s="23">
        <v>0</v>
      </c>
      <c r="H25" s="23">
        <f>'5.3. Beruházás'!H140</f>
        <v>0</v>
      </c>
      <c r="I25" s="23">
        <f>'5.3. Beruházás'!I140</f>
        <v>0</v>
      </c>
      <c r="J25" s="23">
        <f>'5.3. Beruházás'!J140</f>
        <v>0</v>
      </c>
      <c r="K25" s="23">
        <f>'5.3. Beruházás'!K140</f>
        <v>0</v>
      </c>
      <c r="L25" s="28">
        <v>0</v>
      </c>
      <c r="M25" s="17">
        <f t="shared" si="2"/>
        <v>0</v>
      </c>
      <c r="N25" s="23">
        <f>'5.3. Beruházás'!N140</f>
        <v>0</v>
      </c>
      <c r="O25" s="23">
        <f>'5.3. Beruházás'!O140</f>
        <v>0</v>
      </c>
      <c r="P25" s="23">
        <v>0</v>
      </c>
      <c r="Q25" s="23">
        <f>'5.3. Beruházás'!Q140</f>
        <v>0</v>
      </c>
      <c r="R25" s="23">
        <f>'5.3. Beruházás'!R140</f>
        <v>0</v>
      </c>
      <c r="S25" s="23">
        <f>'5.3. Beruházás'!S140</f>
        <v>0</v>
      </c>
      <c r="T25" s="23">
        <f>'5.3. Beruházás'!T140</f>
        <v>0</v>
      </c>
      <c r="U25" s="28">
        <v>0</v>
      </c>
    </row>
    <row r="26" spans="1:21" s="7" customFormat="1" ht="37.5" customHeight="1">
      <c r="A26" s="9" t="s">
        <v>53</v>
      </c>
      <c r="B26" s="179" t="s">
        <v>54</v>
      </c>
      <c r="C26" s="179"/>
      <c r="D26" s="10">
        <f t="shared" si="0"/>
        <v>0</v>
      </c>
      <c r="E26" s="10">
        <f aca="true" t="shared" si="10" ref="E26:L26">SUM(E27:E29)</f>
        <v>0</v>
      </c>
      <c r="F26" s="10">
        <f t="shared" si="10"/>
        <v>0</v>
      </c>
      <c r="G26" s="10">
        <f t="shared" si="10"/>
        <v>0</v>
      </c>
      <c r="H26" s="10">
        <f t="shared" si="10"/>
        <v>0</v>
      </c>
      <c r="I26" s="10">
        <f t="shared" si="10"/>
        <v>0</v>
      </c>
      <c r="J26" s="10">
        <f t="shared" si="10"/>
        <v>0</v>
      </c>
      <c r="K26" s="10">
        <f t="shared" si="10"/>
        <v>0</v>
      </c>
      <c r="L26" s="10">
        <f t="shared" si="10"/>
        <v>0</v>
      </c>
      <c r="M26" s="10">
        <f t="shared" si="2"/>
        <v>349372196</v>
      </c>
      <c r="N26" s="10">
        <f aca="true" t="shared" si="11" ref="N26:U26">SUM(N27:N29)</f>
        <v>0</v>
      </c>
      <c r="O26" s="10">
        <f t="shared" si="11"/>
        <v>0</v>
      </c>
      <c r="P26" s="10">
        <f t="shared" si="11"/>
        <v>100758849</v>
      </c>
      <c r="Q26" s="10">
        <f t="shared" si="11"/>
        <v>0</v>
      </c>
      <c r="R26" s="10">
        <f t="shared" si="11"/>
        <v>0</v>
      </c>
      <c r="S26" s="10">
        <f t="shared" si="11"/>
        <v>40483107</v>
      </c>
      <c r="T26" s="10">
        <f t="shared" si="11"/>
        <v>208130240</v>
      </c>
      <c r="U26" s="10">
        <f t="shared" si="11"/>
        <v>0</v>
      </c>
    </row>
    <row r="27" spans="1:21" s="7" customFormat="1" ht="20.25">
      <c r="A27" s="180"/>
      <c r="B27" s="11" t="s">
        <v>55</v>
      </c>
      <c r="C27" s="12" t="s">
        <v>34</v>
      </c>
      <c r="D27" s="17">
        <f t="shared" si="0"/>
        <v>0</v>
      </c>
      <c r="E27" s="14">
        <f>'5.4. Lakásalap'!E10</f>
        <v>0</v>
      </c>
      <c r="F27" s="15">
        <f>'5.4. Lakásalap'!F10</f>
        <v>0</v>
      </c>
      <c r="G27" s="15">
        <f>'5.4. Lakásalap'!G10</f>
        <v>0</v>
      </c>
      <c r="H27" s="15">
        <f>'5.4. Lakásalap'!H10</f>
        <v>0</v>
      </c>
      <c r="I27" s="15">
        <f>'5.4. Lakásalap'!I10</f>
        <v>0</v>
      </c>
      <c r="J27" s="15">
        <f>'5.4. Lakásalap'!J10</f>
        <v>0</v>
      </c>
      <c r="K27" s="15">
        <f>'5.4. Lakásalap'!K10</f>
        <v>0</v>
      </c>
      <c r="L27" s="26">
        <f>'5.4. Lakásalap'!L10</f>
        <v>0</v>
      </c>
      <c r="M27" s="17">
        <f t="shared" si="2"/>
        <v>349372196</v>
      </c>
      <c r="N27" s="14">
        <f>'5.4. Lakásalap'!N10</f>
        <v>0</v>
      </c>
      <c r="O27" s="15">
        <f>'5.4. Lakásalap'!O10</f>
        <v>0</v>
      </c>
      <c r="P27" s="15">
        <f>'5.4. Lakásalap'!P10</f>
        <v>100758849</v>
      </c>
      <c r="Q27" s="15">
        <f>'5.4. Lakásalap'!Q10</f>
        <v>0</v>
      </c>
      <c r="R27" s="15">
        <f>'5.4. Lakásalap'!R10</f>
        <v>0</v>
      </c>
      <c r="S27" s="15">
        <f>'5.4. Lakásalap'!S10</f>
        <v>40483107</v>
      </c>
      <c r="T27" s="15">
        <f>'5.4. Lakásalap'!T10</f>
        <v>208130240</v>
      </c>
      <c r="U27" s="26">
        <f>'5.4. Lakásalap'!U10</f>
        <v>0</v>
      </c>
    </row>
    <row r="28" spans="1:21" s="7" customFormat="1" ht="20.25">
      <c r="A28" s="180"/>
      <c r="B28" s="11" t="s">
        <v>56</v>
      </c>
      <c r="C28" s="12" t="s">
        <v>36</v>
      </c>
      <c r="D28" s="17">
        <f t="shared" si="0"/>
        <v>0</v>
      </c>
      <c r="E28" s="18">
        <f>'5.4. Lakásalap'!E18</f>
        <v>0</v>
      </c>
      <c r="F28" s="19">
        <f>'5.4. Lakásalap'!F18</f>
        <v>0</v>
      </c>
      <c r="G28" s="19">
        <f>'5.4. Lakásalap'!G18</f>
        <v>0</v>
      </c>
      <c r="H28" s="19">
        <f>'5.4. Lakásalap'!H18</f>
        <v>0</v>
      </c>
      <c r="I28" s="19">
        <f>'5.4. Lakásalap'!I18</f>
        <v>0</v>
      </c>
      <c r="J28" s="19">
        <f>'5.4. Lakásalap'!J18</f>
        <v>0</v>
      </c>
      <c r="K28" s="19">
        <f>'5.4. Lakásalap'!K18</f>
        <v>0</v>
      </c>
      <c r="L28" s="27">
        <f>'5.4. Lakásalap'!L18</f>
        <v>0</v>
      </c>
      <c r="M28" s="17">
        <f t="shared" si="2"/>
        <v>0</v>
      </c>
      <c r="N28" s="18">
        <f>'5.4. Lakásalap'!N18</f>
        <v>0</v>
      </c>
      <c r="O28" s="19">
        <f>'5.4. Lakásalap'!O18</f>
        <v>0</v>
      </c>
      <c r="P28" s="19">
        <f>'5.4. Lakásalap'!P18</f>
        <v>0</v>
      </c>
      <c r="Q28" s="19">
        <f>'5.4. Lakásalap'!Q18</f>
        <v>0</v>
      </c>
      <c r="R28" s="19">
        <f>'5.4. Lakásalap'!R18</f>
        <v>0</v>
      </c>
      <c r="S28" s="19">
        <f>'5.4. Lakásalap'!S18</f>
        <v>0</v>
      </c>
      <c r="T28" s="19">
        <f>'5.4. Lakásalap'!T18</f>
        <v>0</v>
      </c>
      <c r="U28" s="27">
        <f>'5.4. Lakásalap'!U18</f>
        <v>0</v>
      </c>
    </row>
    <row r="29" spans="1:21" s="7" customFormat="1" ht="20.25">
      <c r="A29" s="180"/>
      <c r="B29" s="11" t="s">
        <v>57</v>
      </c>
      <c r="C29" s="21" t="s">
        <v>38</v>
      </c>
      <c r="D29" s="17">
        <f t="shared" si="0"/>
        <v>0</v>
      </c>
      <c r="E29" s="22">
        <f>'5.4. Lakásalap'!E19</f>
        <v>0</v>
      </c>
      <c r="F29" s="23">
        <f>'5.4. Lakásalap'!F19</f>
        <v>0</v>
      </c>
      <c r="G29" s="23">
        <f>'5.4. Lakásalap'!G19</f>
        <v>0</v>
      </c>
      <c r="H29" s="23">
        <f>'5.4. Lakásalap'!H19</f>
        <v>0</v>
      </c>
      <c r="I29" s="23">
        <f>'5.4. Lakásalap'!I19</f>
        <v>0</v>
      </c>
      <c r="J29" s="23">
        <f>'5.4. Lakásalap'!J19</f>
        <v>0</v>
      </c>
      <c r="K29" s="23">
        <f>'5.4. Lakásalap'!K19</f>
        <v>0</v>
      </c>
      <c r="L29" s="28">
        <f>'5.4. Lakásalap'!L19</f>
        <v>0</v>
      </c>
      <c r="M29" s="17">
        <f t="shared" si="2"/>
        <v>0</v>
      </c>
      <c r="N29" s="22">
        <f>'5.4. Lakásalap'!N19</f>
        <v>0</v>
      </c>
      <c r="O29" s="23">
        <f>'5.4. Lakásalap'!O19</f>
        <v>0</v>
      </c>
      <c r="P29" s="23">
        <f>'5.4. Lakásalap'!P19</f>
        <v>0</v>
      </c>
      <c r="Q29" s="23">
        <f>'5.4. Lakásalap'!Q19</f>
        <v>0</v>
      </c>
      <c r="R29" s="23">
        <f>'5.4. Lakásalap'!R19</f>
        <v>0</v>
      </c>
      <c r="S29" s="23">
        <f>'5.4. Lakásalap'!S19</f>
        <v>0</v>
      </c>
      <c r="T29" s="23">
        <f>'5.4. Lakásalap'!T19</f>
        <v>0</v>
      </c>
      <c r="U29" s="28">
        <f>'5.4. Lakásalap'!U19</f>
        <v>0</v>
      </c>
    </row>
    <row r="30" spans="1:21" s="7" customFormat="1" ht="18" customHeight="1">
      <c r="A30" s="9" t="s">
        <v>58</v>
      </c>
      <c r="B30" s="179" t="s">
        <v>59</v>
      </c>
      <c r="C30" s="179"/>
      <c r="D30" s="10">
        <f t="shared" si="0"/>
        <v>124601646</v>
      </c>
      <c r="E30" s="10">
        <f aca="true" t="shared" si="12" ref="E30:L30">SUM(E31:E33)</f>
        <v>9739800</v>
      </c>
      <c r="F30" s="10">
        <f t="shared" si="12"/>
        <v>2629746</v>
      </c>
      <c r="G30" s="10">
        <f t="shared" si="12"/>
        <v>112232100</v>
      </c>
      <c r="H30" s="10">
        <f t="shared" si="12"/>
        <v>0</v>
      </c>
      <c r="I30" s="10">
        <f t="shared" si="12"/>
        <v>0</v>
      </c>
      <c r="J30" s="10">
        <f t="shared" si="12"/>
        <v>0</v>
      </c>
      <c r="K30" s="10">
        <f t="shared" si="12"/>
        <v>0</v>
      </c>
      <c r="L30" s="10">
        <f t="shared" si="12"/>
        <v>0</v>
      </c>
      <c r="M30" s="10">
        <f t="shared" si="2"/>
        <v>137999814</v>
      </c>
      <c r="N30" s="10">
        <f aca="true" t="shared" si="13" ref="N30:U30">SUM(N31:N33)</f>
        <v>13508175</v>
      </c>
      <c r="O30" s="10">
        <f t="shared" si="13"/>
        <v>3647239</v>
      </c>
      <c r="P30" s="10">
        <f t="shared" si="13"/>
        <v>120844400</v>
      </c>
      <c r="Q30" s="10">
        <f t="shared" si="13"/>
        <v>0</v>
      </c>
      <c r="R30" s="10">
        <f t="shared" si="13"/>
        <v>0</v>
      </c>
      <c r="S30" s="10">
        <f t="shared" si="13"/>
        <v>0</v>
      </c>
      <c r="T30" s="10">
        <f t="shared" si="13"/>
        <v>0</v>
      </c>
      <c r="U30" s="10">
        <f t="shared" si="13"/>
        <v>0</v>
      </c>
    </row>
    <row r="31" spans="1:21" s="7" customFormat="1" ht="20.25">
      <c r="A31" s="180"/>
      <c r="B31" s="11" t="s">
        <v>60</v>
      </c>
      <c r="C31" s="12" t="s">
        <v>34</v>
      </c>
      <c r="D31" s="17">
        <f t="shared" si="0"/>
        <v>102369546</v>
      </c>
      <c r="E31" s="14">
        <v>9739800</v>
      </c>
      <c r="F31" s="15">
        <v>2629746</v>
      </c>
      <c r="G31" s="15">
        <v>90000000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  <c r="M31" s="17">
        <f t="shared" si="2"/>
        <v>107155414</v>
      </c>
      <c r="N31" s="14">
        <v>13508175</v>
      </c>
      <c r="O31" s="15">
        <v>3647239</v>
      </c>
      <c r="P31" s="15">
        <v>90000000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</row>
    <row r="32" spans="1:21" s="7" customFormat="1" ht="20.25">
      <c r="A32" s="180"/>
      <c r="B32" s="11" t="s">
        <v>61</v>
      </c>
      <c r="C32" s="12" t="s">
        <v>36</v>
      </c>
      <c r="D32" s="17">
        <f t="shared" si="0"/>
        <v>22232100</v>
      </c>
      <c r="E32" s="18">
        <v>0</v>
      </c>
      <c r="F32" s="19">
        <v>0</v>
      </c>
      <c r="G32" s="19">
        <v>22232100</v>
      </c>
      <c r="H32" s="19">
        <v>0</v>
      </c>
      <c r="I32" s="19">
        <v>0</v>
      </c>
      <c r="J32" s="19">
        <v>0</v>
      </c>
      <c r="K32" s="19">
        <v>0</v>
      </c>
      <c r="L32" s="20">
        <v>0</v>
      </c>
      <c r="M32" s="17">
        <f t="shared" si="2"/>
        <v>30844400</v>
      </c>
      <c r="N32" s="18">
        <v>0</v>
      </c>
      <c r="O32" s="19">
        <v>0</v>
      </c>
      <c r="P32" s="19">
        <v>30844400</v>
      </c>
      <c r="Q32" s="19">
        <v>0</v>
      </c>
      <c r="R32" s="19">
        <v>0</v>
      </c>
      <c r="S32" s="19">
        <v>0</v>
      </c>
      <c r="T32" s="19">
        <v>0</v>
      </c>
      <c r="U32" s="20">
        <v>0</v>
      </c>
    </row>
    <row r="33" spans="1:21" s="7" customFormat="1" ht="20.25">
      <c r="A33" s="180"/>
      <c r="B33" s="11" t="s">
        <v>62</v>
      </c>
      <c r="C33" s="21" t="s">
        <v>38</v>
      </c>
      <c r="D33" s="17">
        <f t="shared" si="0"/>
        <v>0</v>
      </c>
      <c r="E33" s="22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v>0</v>
      </c>
      <c r="M33" s="17">
        <f t="shared" si="2"/>
        <v>0</v>
      </c>
      <c r="N33" s="22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4">
        <v>0</v>
      </c>
    </row>
    <row r="34" spans="1:21" s="7" customFormat="1" ht="18" customHeight="1">
      <c r="A34" s="9" t="s">
        <v>63</v>
      </c>
      <c r="B34" s="179" t="s">
        <v>64</v>
      </c>
      <c r="C34" s="179"/>
      <c r="D34" s="10">
        <f t="shared" si="0"/>
        <v>2450112437</v>
      </c>
      <c r="E34" s="10">
        <f aca="true" t="shared" si="14" ref="E34:L34">SUM(E35:E37)</f>
        <v>0</v>
      </c>
      <c r="F34" s="10">
        <f t="shared" si="14"/>
        <v>0</v>
      </c>
      <c r="G34" s="10">
        <f t="shared" si="14"/>
        <v>57000000</v>
      </c>
      <c r="H34" s="10">
        <f t="shared" si="14"/>
        <v>0</v>
      </c>
      <c r="I34" s="10">
        <f t="shared" si="14"/>
        <v>0</v>
      </c>
      <c r="J34" s="10">
        <f t="shared" si="14"/>
        <v>2384980000</v>
      </c>
      <c r="K34" s="10">
        <f t="shared" si="14"/>
        <v>0</v>
      </c>
      <c r="L34" s="10">
        <f t="shared" si="14"/>
        <v>8132437</v>
      </c>
      <c r="M34" s="10">
        <f t="shared" si="2"/>
        <v>2661961783</v>
      </c>
      <c r="N34" s="10">
        <f aca="true" t="shared" si="15" ref="N34:U34">SUM(N35:N37)</f>
        <v>0</v>
      </c>
      <c r="O34" s="10">
        <f t="shared" si="15"/>
        <v>0</v>
      </c>
      <c r="P34" s="10">
        <f t="shared" si="15"/>
        <v>72576757</v>
      </c>
      <c r="Q34" s="10">
        <f t="shared" si="15"/>
        <v>0</v>
      </c>
      <c r="R34" s="10">
        <f t="shared" si="15"/>
        <v>440000</v>
      </c>
      <c r="S34" s="10">
        <f t="shared" si="15"/>
        <v>2580752589</v>
      </c>
      <c r="T34" s="10">
        <f t="shared" si="15"/>
        <v>0</v>
      </c>
      <c r="U34" s="10">
        <f t="shared" si="15"/>
        <v>8192437</v>
      </c>
    </row>
    <row r="35" spans="1:21" s="7" customFormat="1" ht="20.25">
      <c r="A35" s="180"/>
      <c r="B35" s="11" t="s">
        <v>65</v>
      </c>
      <c r="C35" s="12" t="s">
        <v>34</v>
      </c>
      <c r="D35" s="17">
        <f t="shared" si="0"/>
        <v>0</v>
      </c>
      <c r="E35" s="14">
        <f>'5.5. Kertség'!F10</f>
        <v>0</v>
      </c>
      <c r="F35" s="15">
        <f>'5.5. Kertség'!G10</f>
        <v>0</v>
      </c>
      <c r="G35" s="15">
        <f>'5.5. Kertség'!H10</f>
        <v>0</v>
      </c>
      <c r="H35" s="15">
        <f>'5.5. Kertség'!I10</f>
        <v>0</v>
      </c>
      <c r="I35" s="15">
        <f>'5.5. Kertség'!J10</f>
        <v>0</v>
      </c>
      <c r="J35" s="15">
        <f>'5.5. Kertség'!K10</f>
        <v>0</v>
      </c>
      <c r="K35" s="15">
        <f>'5.5. Kertség'!L10</f>
        <v>0</v>
      </c>
      <c r="L35" s="26">
        <f>'5.5. Kertség'!M10</f>
        <v>0</v>
      </c>
      <c r="M35" s="17">
        <f t="shared" si="2"/>
        <v>0</v>
      </c>
      <c r="N35" s="14">
        <f>'5.5. Kertség'!O10</f>
        <v>0</v>
      </c>
      <c r="O35" s="15">
        <f>'5.5. Kertség'!P10</f>
        <v>0</v>
      </c>
      <c r="P35" s="15">
        <f>'5.5. Kertség'!Q10</f>
        <v>0</v>
      </c>
      <c r="Q35" s="15">
        <f>'5.5. Kertség'!R10</f>
        <v>0</v>
      </c>
      <c r="R35" s="15">
        <f>'5.5. Kertség'!S10</f>
        <v>0</v>
      </c>
      <c r="S35" s="15">
        <f>'5.5. Kertség'!T10</f>
        <v>0</v>
      </c>
      <c r="T35" s="15">
        <f>'5.5. Kertség'!U10</f>
        <v>0</v>
      </c>
      <c r="U35" s="26">
        <f>'5.5. Kertség'!V10</f>
        <v>0</v>
      </c>
    </row>
    <row r="36" spans="1:21" s="7" customFormat="1" ht="20.25">
      <c r="A36" s="180"/>
      <c r="B36" s="11" t="s">
        <v>66</v>
      </c>
      <c r="C36" s="12" t="s">
        <v>36</v>
      </c>
      <c r="D36" s="17">
        <f t="shared" si="0"/>
        <v>2450112437</v>
      </c>
      <c r="E36" s="18">
        <f>'5.5. Kertség'!F11</f>
        <v>0</v>
      </c>
      <c r="F36" s="19">
        <f>'5.5. Kertség'!G11</f>
        <v>0</v>
      </c>
      <c r="G36" s="19">
        <f>'5.5. Kertség'!H11</f>
        <v>57000000</v>
      </c>
      <c r="H36" s="19">
        <f>'5.5. Kertség'!I11</f>
        <v>0</v>
      </c>
      <c r="I36" s="19">
        <f>'5.5. Kertség'!J11</f>
        <v>0</v>
      </c>
      <c r="J36" s="19">
        <f>'5.5. Kertség'!K11</f>
        <v>2384980000</v>
      </c>
      <c r="K36" s="19">
        <f>'5.5. Kertség'!L11</f>
        <v>0</v>
      </c>
      <c r="L36" s="27">
        <f>'5.5. Kertség'!M11</f>
        <v>8132437</v>
      </c>
      <c r="M36" s="17">
        <f t="shared" si="2"/>
        <v>2661961783</v>
      </c>
      <c r="N36" s="18">
        <f>'5.5. Kertség'!O11</f>
        <v>0</v>
      </c>
      <c r="O36" s="19">
        <f>'5.5. Kertség'!P11</f>
        <v>0</v>
      </c>
      <c r="P36" s="19">
        <f>'5.5. Kertség'!Q11</f>
        <v>72576757</v>
      </c>
      <c r="Q36" s="19">
        <f>'5.5. Kertség'!R11</f>
        <v>0</v>
      </c>
      <c r="R36" s="19">
        <f>'5.5. Kertség'!S11</f>
        <v>440000</v>
      </c>
      <c r="S36" s="19">
        <f>'5.5. Kertség'!T11</f>
        <v>2580752589</v>
      </c>
      <c r="T36" s="19">
        <f>'5.5. Kertség'!U11</f>
        <v>0</v>
      </c>
      <c r="U36" s="27">
        <f>'5.5. Kertség'!V11</f>
        <v>8192437</v>
      </c>
    </row>
    <row r="37" spans="1:21" s="7" customFormat="1" ht="20.25">
      <c r="A37" s="180"/>
      <c r="B37" s="11" t="s">
        <v>67</v>
      </c>
      <c r="C37" s="21" t="s">
        <v>38</v>
      </c>
      <c r="D37" s="17">
        <f t="shared" si="0"/>
        <v>0</v>
      </c>
      <c r="E37" s="22">
        <f>'5.5. Kertség'!F33</f>
        <v>0</v>
      </c>
      <c r="F37" s="23">
        <f>'5.5. Kertség'!G33</f>
        <v>0</v>
      </c>
      <c r="G37" s="23">
        <v>0</v>
      </c>
      <c r="H37" s="23">
        <f>'5.5. Kertség'!I33</f>
        <v>0</v>
      </c>
      <c r="I37" s="23">
        <f>'5.5. Kertség'!J33</f>
        <v>0</v>
      </c>
      <c r="J37" s="23">
        <v>0</v>
      </c>
      <c r="K37" s="23">
        <f>'5.5. Kertség'!L33</f>
        <v>0</v>
      </c>
      <c r="L37" s="28">
        <v>0</v>
      </c>
      <c r="M37" s="17">
        <f t="shared" si="2"/>
        <v>0</v>
      </c>
      <c r="N37" s="22">
        <f>'5.5. Kertség'!O33</f>
        <v>0</v>
      </c>
      <c r="O37" s="23">
        <f>'5.5. Kertség'!P33</f>
        <v>0</v>
      </c>
      <c r="P37" s="23">
        <v>0</v>
      </c>
      <c r="Q37" s="23">
        <f>'5.5. Kertség'!R33</f>
        <v>0</v>
      </c>
      <c r="R37" s="23">
        <f>'5.5. Kertség'!S33</f>
        <v>0</v>
      </c>
      <c r="S37" s="23">
        <v>0</v>
      </c>
      <c r="T37" s="23">
        <f>'5.5. Kertség'!U33</f>
        <v>0</v>
      </c>
      <c r="U37" s="28">
        <v>0</v>
      </c>
    </row>
    <row r="38" spans="1:21" s="7" customFormat="1" ht="18" customHeight="1">
      <c r="A38" s="9" t="s">
        <v>68</v>
      </c>
      <c r="B38" s="179" t="s">
        <v>69</v>
      </c>
      <c r="C38" s="179"/>
      <c r="D38" s="10">
        <f t="shared" si="0"/>
        <v>10100000</v>
      </c>
      <c r="E38" s="10">
        <f aca="true" t="shared" si="16" ref="E38:L38">SUM(E39:E41)</f>
        <v>0</v>
      </c>
      <c r="F38" s="10">
        <f t="shared" si="16"/>
        <v>0</v>
      </c>
      <c r="G38" s="10">
        <f t="shared" si="16"/>
        <v>100000</v>
      </c>
      <c r="H38" s="10">
        <f t="shared" si="16"/>
        <v>0</v>
      </c>
      <c r="I38" s="10">
        <f t="shared" si="16"/>
        <v>10000000</v>
      </c>
      <c r="J38" s="10">
        <f t="shared" si="16"/>
        <v>0</v>
      </c>
      <c r="K38" s="10">
        <f t="shared" si="16"/>
        <v>0</v>
      </c>
      <c r="L38" s="10">
        <f t="shared" si="16"/>
        <v>0</v>
      </c>
      <c r="M38" s="10">
        <f t="shared" si="2"/>
        <v>10100000</v>
      </c>
      <c r="N38" s="10">
        <f aca="true" t="shared" si="17" ref="N38:U38">SUM(N39:N41)</f>
        <v>0</v>
      </c>
      <c r="O38" s="10">
        <f t="shared" si="17"/>
        <v>0</v>
      </c>
      <c r="P38" s="10">
        <f t="shared" si="17"/>
        <v>100000</v>
      </c>
      <c r="Q38" s="10">
        <f t="shared" si="17"/>
        <v>0</v>
      </c>
      <c r="R38" s="10">
        <f t="shared" si="17"/>
        <v>10000000</v>
      </c>
      <c r="S38" s="10">
        <f t="shared" si="17"/>
        <v>0</v>
      </c>
      <c r="T38" s="10">
        <f t="shared" si="17"/>
        <v>0</v>
      </c>
      <c r="U38" s="10">
        <f t="shared" si="17"/>
        <v>0</v>
      </c>
    </row>
    <row r="39" spans="1:21" s="7" customFormat="1" ht="20.25">
      <c r="A39" s="180"/>
      <c r="B39" s="11" t="s">
        <v>70</v>
      </c>
      <c r="C39" s="12" t="s">
        <v>34</v>
      </c>
      <c r="D39" s="17">
        <f t="shared" si="0"/>
        <v>100000</v>
      </c>
      <c r="E39" s="15">
        <v>0</v>
      </c>
      <c r="F39" s="15">
        <v>0</v>
      </c>
      <c r="G39" s="15">
        <v>100000</v>
      </c>
      <c r="H39" s="15">
        <v>0</v>
      </c>
      <c r="I39" s="15">
        <v>0</v>
      </c>
      <c r="J39" s="15">
        <v>0</v>
      </c>
      <c r="K39" s="15">
        <v>0</v>
      </c>
      <c r="L39" s="26">
        <v>0</v>
      </c>
      <c r="M39" s="17">
        <f t="shared" si="2"/>
        <v>100000</v>
      </c>
      <c r="N39" s="15">
        <v>0</v>
      </c>
      <c r="O39" s="15">
        <v>0</v>
      </c>
      <c r="P39" s="15">
        <v>100000</v>
      </c>
      <c r="Q39" s="15">
        <v>0</v>
      </c>
      <c r="R39" s="15">
        <v>0</v>
      </c>
      <c r="S39" s="15">
        <v>0</v>
      </c>
      <c r="T39" s="15">
        <v>0</v>
      </c>
      <c r="U39" s="26">
        <v>0</v>
      </c>
    </row>
    <row r="40" spans="1:21" s="7" customFormat="1" ht="20.25">
      <c r="A40" s="180"/>
      <c r="B40" s="11" t="s">
        <v>71</v>
      </c>
      <c r="C40" s="12" t="s">
        <v>36</v>
      </c>
      <c r="D40" s="17">
        <f t="shared" si="0"/>
        <v>10000000</v>
      </c>
      <c r="E40" s="18">
        <v>0</v>
      </c>
      <c r="F40" s="19">
        <v>0</v>
      </c>
      <c r="G40" s="19">
        <v>0</v>
      </c>
      <c r="H40" s="19">
        <v>0</v>
      </c>
      <c r="I40" s="19">
        <v>10000000</v>
      </c>
      <c r="J40" s="19">
        <v>0</v>
      </c>
      <c r="K40" s="19">
        <v>0</v>
      </c>
      <c r="L40" s="27">
        <v>0</v>
      </c>
      <c r="M40" s="17">
        <f t="shared" si="2"/>
        <v>10000000</v>
      </c>
      <c r="N40" s="18">
        <v>0</v>
      </c>
      <c r="O40" s="19">
        <v>0</v>
      </c>
      <c r="P40" s="19">
        <v>0</v>
      </c>
      <c r="Q40" s="19">
        <v>0</v>
      </c>
      <c r="R40" s="19">
        <v>10000000</v>
      </c>
      <c r="S40" s="19">
        <v>0</v>
      </c>
      <c r="T40" s="19">
        <v>0</v>
      </c>
      <c r="U40" s="27">
        <v>0</v>
      </c>
    </row>
    <row r="41" spans="1:21" s="7" customFormat="1" ht="20.25">
      <c r="A41" s="180"/>
      <c r="B41" s="11" t="s">
        <v>72</v>
      </c>
      <c r="C41" s="21" t="s">
        <v>38</v>
      </c>
      <c r="D41" s="17">
        <f t="shared" si="0"/>
        <v>0</v>
      </c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8">
        <v>0</v>
      </c>
      <c r="M41" s="17">
        <f t="shared" si="2"/>
        <v>0</v>
      </c>
      <c r="N41" s="22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8">
        <v>0</v>
      </c>
    </row>
    <row r="42" spans="1:21" s="7" customFormat="1" ht="18" customHeight="1">
      <c r="A42" s="9" t="s">
        <v>73</v>
      </c>
      <c r="B42" s="179" t="s">
        <v>74</v>
      </c>
      <c r="C42" s="179"/>
      <c r="D42" s="10">
        <f aca="true" t="shared" si="18" ref="D42:D73">SUM(E42:L42)</f>
        <v>77137000</v>
      </c>
      <c r="E42" s="10">
        <f aca="true" t="shared" si="19" ref="E42:L42">SUM(E43:E45)</f>
        <v>0</v>
      </c>
      <c r="F42" s="10">
        <f t="shared" si="19"/>
        <v>0</v>
      </c>
      <c r="G42" s="10">
        <f t="shared" si="19"/>
        <v>20000000</v>
      </c>
      <c r="H42" s="10">
        <f t="shared" si="19"/>
        <v>637000</v>
      </c>
      <c r="I42" s="10">
        <f t="shared" si="19"/>
        <v>56500000</v>
      </c>
      <c r="J42" s="10">
        <f t="shared" si="19"/>
        <v>0</v>
      </c>
      <c r="K42" s="10">
        <f t="shared" si="19"/>
        <v>0</v>
      </c>
      <c r="L42" s="10">
        <f t="shared" si="19"/>
        <v>0</v>
      </c>
      <c r="M42" s="10">
        <f aca="true" t="shared" si="20" ref="M42:M73">SUM(N42:U42)</f>
        <v>78074000</v>
      </c>
      <c r="N42" s="10">
        <f aca="true" t="shared" si="21" ref="N42:U42">SUM(N43:N45)</f>
        <v>0</v>
      </c>
      <c r="O42" s="10">
        <f t="shared" si="21"/>
        <v>0</v>
      </c>
      <c r="P42" s="10">
        <f t="shared" si="21"/>
        <v>20000000</v>
      </c>
      <c r="Q42" s="10">
        <f t="shared" si="21"/>
        <v>1574000</v>
      </c>
      <c r="R42" s="10">
        <f t="shared" si="21"/>
        <v>56500000</v>
      </c>
      <c r="S42" s="10">
        <f t="shared" si="21"/>
        <v>0</v>
      </c>
      <c r="T42" s="10">
        <f t="shared" si="21"/>
        <v>0</v>
      </c>
      <c r="U42" s="10">
        <f t="shared" si="21"/>
        <v>0</v>
      </c>
    </row>
    <row r="43" spans="1:21" s="7" customFormat="1" ht="20.25">
      <c r="A43" s="180"/>
      <c r="B43" s="11" t="s">
        <v>75</v>
      </c>
      <c r="C43" s="12" t="s">
        <v>34</v>
      </c>
      <c r="D43" s="17">
        <f t="shared" si="18"/>
        <v>77137000</v>
      </c>
      <c r="E43" s="15">
        <f>'5.6. Egészségügyi'!E10</f>
        <v>0</v>
      </c>
      <c r="F43" s="15">
        <f>'5.6. Egészségügyi'!F10</f>
        <v>0</v>
      </c>
      <c r="G43" s="15">
        <f>'5.6. Egészségügyi'!G10</f>
        <v>20000000</v>
      </c>
      <c r="H43" s="15">
        <f>'5.6. Egészségügyi'!H10</f>
        <v>637000</v>
      </c>
      <c r="I43" s="15">
        <f>'5.6. Egészségügyi'!I10</f>
        <v>56500000</v>
      </c>
      <c r="J43" s="15">
        <f>'5.6. Egészségügyi'!J10</f>
        <v>0</v>
      </c>
      <c r="K43" s="15">
        <f>'5.6. Egészségügyi'!K10</f>
        <v>0</v>
      </c>
      <c r="L43" s="26">
        <f>'5.6. Egészségügyi'!L10</f>
        <v>0</v>
      </c>
      <c r="M43" s="17">
        <f t="shared" si="20"/>
        <v>78074000</v>
      </c>
      <c r="N43" s="15">
        <f>'5.6. Egészségügyi'!N10</f>
        <v>0</v>
      </c>
      <c r="O43" s="15">
        <f>'5.6. Egészségügyi'!O10</f>
        <v>0</v>
      </c>
      <c r="P43" s="15">
        <f>'5.6. Egészségügyi'!P10</f>
        <v>20000000</v>
      </c>
      <c r="Q43" s="15">
        <f>'5.6. Egészségügyi'!Q10</f>
        <v>1574000</v>
      </c>
      <c r="R43" s="15">
        <f>'5.6. Egészségügyi'!R10</f>
        <v>56500000</v>
      </c>
      <c r="S43" s="15">
        <f>'5.6. Egészségügyi'!S10</f>
        <v>0</v>
      </c>
      <c r="T43" s="15">
        <f>'5.6. Egészségügyi'!T10</f>
        <v>0</v>
      </c>
      <c r="U43" s="26">
        <f>'5.6. Egészségügyi'!U10</f>
        <v>0</v>
      </c>
    </row>
    <row r="44" spans="1:21" s="7" customFormat="1" ht="20.25">
      <c r="A44" s="180"/>
      <c r="B44" s="11" t="s">
        <v>76</v>
      </c>
      <c r="C44" s="12" t="s">
        <v>36</v>
      </c>
      <c r="D44" s="17">
        <f t="shared" si="18"/>
        <v>0</v>
      </c>
      <c r="E44" s="18">
        <f>'5.6. Egészségügyi'!E17</f>
        <v>0</v>
      </c>
      <c r="F44" s="19">
        <f>'5.6. Egészségügyi'!F17</f>
        <v>0</v>
      </c>
      <c r="G44" s="19">
        <f>'5.6. Egészségügyi'!G17</f>
        <v>0</v>
      </c>
      <c r="H44" s="19">
        <f>'5.6. Egészségügyi'!H17</f>
        <v>0</v>
      </c>
      <c r="I44" s="19">
        <f>'5.6. Egészségügyi'!I17</f>
        <v>0</v>
      </c>
      <c r="J44" s="19">
        <f>'5.6. Egészségügyi'!J17</f>
        <v>0</v>
      </c>
      <c r="K44" s="19">
        <f>'5.6. Egészségügyi'!K17</f>
        <v>0</v>
      </c>
      <c r="L44" s="27">
        <f>'5.6. Egészségügyi'!L17</f>
        <v>0</v>
      </c>
      <c r="M44" s="17">
        <f t="shared" si="20"/>
        <v>0</v>
      </c>
      <c r="N44" s="18">
        <f>'5.6. Egészségügyi'!N17</f>
        <v>0</v>
      </c>
      <c r="O44" s="19">
        <f>'5.6. Egészségügyi'!O17</f>
        <v>0</v>
      </c>
      <c r="P44" s="19">
        <f>'5.6. Egészségügyi'!P17</f>
        <v>0</v>
      </c>
      <c r="Q44" s="19">
        <f>'5.6. Egészségügyi'!Q17</f>
        <v>0</v>
      </c>
      <c r="R44" s="19">
        <f>'5.6. Egészségügyi'!R17</f>
        <v>0</v>
      </c>
      <c r="S44" s="19">
        <f>'5.6. Egészségügyi'!S17</f>
        <v>0</v>
      </c>
      <c r="T44" s="19">
        <f>'5.6. Egészségügyi'!T17</f>
        <v>0</v>
      </c>
      <c r="U44" s="27">
        <f>'5.6. Egészségügyi'!U17</f>
        <v>0</v>
      </c>
    </row>
    <row r="45" spans="1:21" s="7" customFormat="1" ht="20.25">
      <c r="A45" s="180"/>
      <c r="B45" s="11" t="s">
        <v>77</v>
      </c>
      <c r="C45" s="21" t="s">
        <v>38</v>
      </c>
      <c r="D45" s="17">
        <f t="shared" si="18"/>
        <v>0</v>
      </c>
      <c r="E45" s="22">
        <f>'5.6. Egészségügyi'!E18</f>
        <v>0</v>
      </c>
      <c r="F45" s="23">
        <f>'5.6. Egészségügyi'!F18</f>
        <v>0</v>
      </c>
      <c r="G45" s="23">
        <f>'5.6. Egészségügyi'!G18</f>
        <v>0</v>
      </c>
      <c r="H45" s="23">
        <f>'5.6. Egészségügyi'!H18</f>
        <v>0</v>
      </c>
      <c r="I45" s="23">
        <f>'5.6. Egészségügyi'!I18</f>
        <v>0</v>
      </c>
      <c r="J45" s="23">
        <f>'5.6. Egészségügyi'!J18</f>
        <v>0</v>
      </c>
      <c r="K45" s="23">
        <f>'5.6. Egészségügyi'!K18</f>
        <v>0</v>
      </c>
      <c r="L45" s="28">
        <f>'5.6. Egészségügyi'!L18</f>
        <v>0</v>
      </c>
      <c r="M45" s="17">
        <f t="shared" si="20"/>
        <v>0</v>
      </c>
      <c r="N45" s="22">
        <f>'5.6. Egészségügyi'!N18</f>
        <v>0</v>
      </c>
      <c r="O45" s="23">
        <f>'5.6. Egészségügyi'!O18</f>
        <v>0</v>
      </c>
      <c r="P45" s="23">
        <f>'5.6. Egészségügyi'!P18</f>
        <v>0</v>
      </c>
      <c r="Q45" s="23">
        <f>'5.6. Egészségügyi'!Q18</f>
        <v>0</v>
      </c>
      <c r="R45" s="23">
        <f>'5.6. Egészségügyi'!R18</f>
        <v>0</v>
      </c>
      <c r="S45" s="23">
        <f>'5.6. Egészségügyi'!S18</f>
        <v>0</v>
      </c>
      <c r="T45" s="23">
        <f>'5.6. Egészségügyi'!T18</f>
        <v>0</v>
      </c>
      <c r="U45" s="28">
        <f>'5.6. Egészségügyi'!U18</f>
        <v>0</v>
      </c>
    </row>
    <row r="46" spans="1:21" s="7" customFormat="1" ht="20.25" customHeight="1">
      <c r="A46" s="9" t="s">
        <v>78</v>
      </c>
      <c r="B46" s="179" t="s">
        <v>79</v>
      </c>
      <c r="C46" s="179"/>
      <c r="D46" s="10">
        <f t="shared" si="18"/>
        <v>56125000</v>
      </c>
      <c r="E46" s="10">
        <f aca="true" t="shared" si="22" ref="E46:L46">SUM(E47:E49)</f>
        <v>0</v>
      </c>
      <c r="F46" s="10">
        <f t="shared" si="22"/>
        <v>0</v>
      </c>
      <c r="G46" s="10">
        <f t="shared" si="22"/>
        <v>5900000</v>
      </c>
      <c r="H46" s="10">
        <f t="shared" si="22"/>
        <v>7225000</v>
      </c>
      <c r="I46" s="10">
        <f t="shared" si="22"/>
        <v>43000000</v>
      </c>
      <c r="J46" s="10">
        <f t="shared" si="22"/>
        <v>0</v>
      </c>
      <c r="K46" s="10">
        <f t="shared" si="22"/>
        <v>0</v>
      </c>
      <c r="L46" s="10">
        <f t="shared" si="22"/>
        <v>0</v>
      </c>
      <c r="M46" s="10">
        <f t="shared" si="20"/>
        <v>52258040</v>
      </c>
      <c r="N46" s="10">
        <f aca="true" t="shared" si="23" ref="N46:U46">SUM(N47:N49)</f>
        <v>0</v>
      </c>
      <c r="O46" s="10">
        <f t="shared" si="23"/>
        <v>0</v>
      </c>
      <c r="P46" s="10">
        <f t="shared" si="23"/>
        <v>4533040</v>
      </c>
      <c r="Q46" s="10">
        <f t="shared" si="23"/>
        <v>7225000</v>
      </c>
      <c r="R46" s="10">
        <f t="shared" si="23"/>
        <v>40500000</v>
      </c>
      <c r="S46" s="10">
        <f t="shared" si="23"/>
        <v>0</v>
      </c>
      <c r="T46" s="10">
        <f t="shared" si="23"/>
        <v>0</v>
      </c>
      <c r="U46" s="10">
        <f t="shared" si="23"/>
        <v>0</v>
      </c>
    </row>
    <row r="47" spans="1:21" s="7" customFormat="1" ht="20.25" customHeight="1">
      <c r="A47" s="180"/>
      <c r="B47" s="11" t="s">
        <v>80</v>
      </c>
      <c r="C47" s="12" t="s">
        <v>34</v>
      </c>
      <c r="D47" s="17">
        <f t="shared" si="18"/>
        <v>56125000</v>
      </c>
      <c r="E47" s="14">
        <f>'5.7. Népjólét'!E10</f>
        <v>0</v>
      </c>
      <c r="F47" s="15">
        <f>'5.7. Népjólét'!F10</f>
        <v>0</v>
      </c>
      <c r="G47" s="15">
        <f>'5.7. Népjólét'!G10</f>
        <v>5900000</v>
      </c>
      <c r="H47" s="15">
        <f>'5.7. Népjólét'!H10</f>
        <v>7225000</v>
      </c>
      <c r="I47" s="15">
        <f>'5.7. Népjólét'!I10</f>
        <v>43000000</v>
      </c>
      <c r="J47" s="15">
        <f>'5.7. Népjólét'!J10</f>
        <v>0</v>
      </c>
      <c r="K47" s="15">
        <f>'5.7. Népjólét'!K10</f>
        <v>0</v>
      </c>
      <c r="L47" s="26">
        <f>'5.7. Népjólét'!L10</f>
        <v>0</v>
      </c>
      <c r="M47" s="17">
        <f t="shared" si="20"/>
        <v>52258040</v>
      </c>
      <c r="N47" s="14">
        <f>'5.7. Népjólét'!N10</f>
        <v>0</v>
      </c>
      <c r="O47" s="15">
        <f>'5.7. Népjólét'!O10</f>
        <v>0</v>
      </c>
      <c r="P47" s="15">
        <f>'5.7. Népjólét'!P10</f>
        <v>4533040</v>
      </c>
      <c r="Q47" s="15">
        <f>'5.7. Népjólét'!Q10</f>
        <v>7225000</v>
      </c>
      <c r="R47" s="15">
        <f>'5.7. Népjólét'!R10</f>
        <v>40500000</v>
      </c>
      <c r="S47" s="15">
        <f>'5.7. Népjólét'!S10</f>
        <v>0</v>
      </c>
      <c r="T47" s="15">
        <f>'5.7. Népjólét'!T10</f>
        <v>0</v>
      </c>
      <c r="U47" s="26">
        <f>'5.7. Népjólét'!U10</f>
        <v>0</v>
      </c>
    </row>
    <row r="48" spans="1:21" s="7" customFormat="1" ht="20.25" customHeight="1">
      <c r="A48" s="180"/>
      <c r="B48" s="11" t="s">
        <v>81</v>
      </c>
      <c r="C48" s="12" t="s">
        <v>36</v>
      </c>
      <c r="D48" s="17">
        <f t="shared" si="18"/>
        <v>0</v>
      </c>
      <c r="E48" s="18">
        <f>'5.7. Népjólét'!E18</f>
        <v>0</v>
      </c>
      <c r="F48" s="19">
        <f>'5.7. Népjólét'!F18</f>
        <v>0</v>
      </c>
      <c r="G48" s="19">
        <f>'5.7. Népjólét'!G18</f>
        <v>0</v>
      </c>
      <c r="H48" s="19">
        <f>'5.7. Népjólét'!H18</f>
        <v>0</v>
      </c>
      <c r="I48" s="19">
        <f>'5.7. Népjólét'!I18</f>
        <v>0</v>
      </c>
      <c r="J48" s="19">
        <f>'5.7. Népjólét'!J18</f>
        <v>0</v>
      </c>
      <c r="K48" s="19">
        <f>'5.7. Népjólét'!K18</f>
        <v>0</v>
      </c>
      <c r="L48" s="27">
        <f>'5.7. Népjólét'!L18</f>
        <v>0</v>
      </c>
      <c r="M48" s="17">
        <f t="shared" si="20"/>
        <v>0</v>
      </c>
      <c r="N48" s="18">
        <f>'5.7. Népjólét'!N18</f>
        <v>0</v>
      </c>
      <c r="O48" s="19">
        <f>'5.7. Népjólét'!O18</f>
        <v>0</v>
      </c>
      <c r="P48" s="19">
        <f>'5.7. Népjólét'!P18</f>
        <v>0</v>
      </c>
      <c r="Q48" s="19">
        <f>'5.7. Népjólét'!Q18</f>
        <v>0</v>
      </c>
      <c r="R48" s="19">
        <f>'5.7. Népjólét'!R18</f>
        <v>0</v>
      </c>
      <c r="S48" s="19">
        <f>'5.7. Népjólét'!S18</f>
        <v>0</v>
      </c>
      <c r="T48" s="19">
        <f>'5.7. Népjólét'!T18</f>
        <v>0</v>
      </c>
      <c r="U48" s="27">
        <f>'5.7. Népjólét'!U18</f>
        <v>0</v>
      </c>
    </row>
    <row r="49" spans="1:21" s="7" customFormat="1" ht="20.25" customHeight="1">
      <c r="A49" s="180"/>
      <c r="B49" s="11" t="s">
        <v>82</v>
      </c>
      <c r="C49" s="21" t="s">
        <v>38</v>
      </c>
      <c r="D49" s="17">
        <f t="shared" si="18"/>
        <v>0</v>
      </c>
      <c r="E49" s="22">
        <f>'5.7. Népjólét'!E19</f>
        <v>0</v>
      </c>
      <c r="F49" s="23">
        <f>'5.7. Népjólét'!F19</f>
        <v>0</v>
      </c>
      <c r="G49" s="23">
        <f>'5.7. Népjólét'!G19</f>
        <v>0</v>
      </c>
      <c r="H49" s="23">
        <f>'5.7. Népjólét'!H19</f>
        <v>0</v>
      </c>
      <c r="I49" s="23">
        <f>'5.7. Népjólét'!I19</f>
        <v>0</v>
      </c>
      <c r="J49" s="23">
        <f>'5.7. Népjólét'!J19</f>
        <v>0</v>
      </c>
      <c r="K49" s="23">
        <f>'5.7. Népjólét'!K19</f>
        <v>0</v>
      </c>
      <c r="L49" s="28">
        <f>'5.7. Népjólét'!L19</f>
        <v>0</v>
      </c>
      <c r="M49" s="17">
        <f t="shared" si="20"/>
        <v>0</v>
      </c>
      <c r="N49" s="22">
        <f>'5.7. Népjólét'!N19</f>
        <v>0</v>
      </c>
      <c r="O49" s="23">
        <f>'5.7. Népjólét'!O19</f>
        <v>0</v>
      </c>
      <c r="P49" s="23">
        <f>'5.7. Népjólét'!P19</f>
        <v>0</v>
      </c>
      <c r="Q49" s="23">
        <f>'5.7. Népjólét'!Q19</f>
        <v>0</v>
      </c>
      <c r="R49" s="23">
        <f>'5.7. Népjólét'!R19</f>
        <v>0</v>
      </c>
      <c r="S49" s="23">
        <f>'5.7. Népjólét'!S19</f>
        <v>0</v>
      </c>
      <c r="T49" s="23">
        <f>'5.7. Népjólét'!T19</f>
        <v>0</v>
      </c>
      <c r="U49" s="28">
        <f>'5.7. Népjólét'!U19</f>
        <v>0</v>
      </c>
    </row>
    <row r="50" spans="1:21" s="7" customFormat="1" ht="39" customHeight="1">
      <c r="A50" s="9" t="s">
        <v>83</v>
      </c>
      <c r="B50" s="179" t="s">
        <v>84</v>
      </c>
      <c r="C50" s="179"/>
      <c r="D50" s="10">
        <f t="shared" si="18"/>
        <v>20600000</v>
      </c>
      <c r="E50" s="10">
        <f aca="true" t="shared" si="24" ref="E50:L50">SUM(E51:E53)</f>
        <v>0</v>
      </c>
      <c r="F50" s="10">
        <f t="shared" si="24"/>
        <v>0</v>
      </c>
      <c r="G50" s="10">
        <f t="shared" si="24"/>
        <v>7100000</v>
      </c>
      <c r="H50" s="10">
        <f t="shared" si="24"/>
        <v>0</v>
      </c>
      <c r="I50" s="10">
        <f t="shared" si="24"/>
        <v>13500000</v>
      </c>
      <c r="J50" s="10">
        <f t="shared" si="24"/>
        <v>0</v>
      </c>
      <c r="K50" s="10">
        <f t="shared" si="24"/>
        <v>0</v>
      </c>
      <c r="L50" s="10">
        <f t="shared" si="24"/>
        <v>0</v>
      </c>
      <c r="M50" s="10">
        <f t="shared" si="20"/>
        <v>24756784</v>
      </c>
      <c r="N50" s="10">
        <f aca="true" t="shared" si="25" ref="N50:U50">SUM(N51:N53)</f>
        <v>8640000</v>
      </c>
      <c r="O50" s="10">
        <f t="shared" si="25"/>
        <v>2516414</v>
      </c>
      <c r="P50" s="10">
        <f t="shared" si="25"/>
        <v>6928370</v>
      </c>
      <c r="Q50" s="10">
        <f t="shared" si="25"/>
        <v>0</v>
      </c>
      <c r="R50" s="10">
        <f t="shared" si="25"/>
        <v>6672000</v>
      </c>
      <c r="S50" s="10">
        <f t="shared" si="25"/>
        <v>0</v>
      </c>
      <c r="T50" s="10">
        <f t="shared" si="25"/>
        <v>0</v>
      </c>
      <c r="U50" s="10">
        <f t="shared" si="25"/>
        <v>0</v>
      </c>
    </row>
    <row r="51" spans="1:21" s="7" customFormat="1" ht="20.25" customHeight="1">
      <c r="A51" s="180"/>
      <c r="B51" s="11" t="s">
        <v>85</v>
      </c>
      <c r="C51" s="12" t="s">
        <v>34</v>
      </c>
      <c r="D51" s="17">
        <f t="shared" si="18"/>
        <v>12100000</v>
      </c>
      <c r="E51" s="14">
        <f>'5.8. Sportfeladatok'!E11</f>
        <v>0</v>
      </c>
      <c r="F51" s="15">
        <f>'5.8. Sportfeladatok'!F11</f>
        <v>0</v>
      </c>
      <c r="G51" s="15">
        <f>'5.8. Sportfeladatok'!G11</f>
        <v>7100000</v>
      </c>
      <c r="H51" s="15">
        <f>'5.8. Sportfeladatok'!H11</f>
        <v>0</v>
      </c>
      <c r="I51" s="15">
        <f>'5.8. Sportfeladatok'!I11</f>
        <v>5000000</v>
      </c>
      <c r="J51" s="15">
        <f>'5.8. Sportfeladatok'!J11</f>
        <v>0</v>
      </c>
      <c r="K51" s="15">
        <f>'5.8. Sportfeladatok'!K11</f>
        <v>0</v>
      </c>
      <c r="L51" s="26">
        <f>'5.8. Sportfeladatok'!L11</f>
        <v>0</v>
      </c>
      <c r="M51" s="17">
        <f t="shared" si="20"/>
        <v>12283984</v>
      </c>
      <c r="N51" s="14">
        <f>'5.8. Sportfeladatok'!N11</f>
        <v>0</v>
      </c>
      <c r="O51" s="15">
        <f>'5.8. Sportfeladatok'!O11</f>
        <v>183614</v>
      </c>
      <c r="P51" s="15">
        <f>'5.8. Sportfeladatok'!P11</f>
        <v>6928370</v>
      </c>
      <c r="Q51" s="15">
        <f>'5.8. Sportfeladatok'!Q11</f>
        <v>0</v>
      </c>
      <c r="R51" s="15">
        <f>'5.8. Sportfeladatok'!R11</f>
        <v>5172000</v>
      </c>
      <c r="S51" s="15">
        <f>'5.8. Sportfeladatok'!S11</f>
        <v>0</v>
      </c>
      <c r="T51" s="15">
        <f>'5.8. Sportfeladatok'!T11</f>
        <v>0</v>
      </c>
      <c r="U51" s="26">
        <f>'5.8. Sportfeladatok'!U11</f>
        <v>0</v>
      </c>
    </row>
    <row r="52" spans="1:21" s="7" customFormat="1" ht="20.25" customHeight="1">
      <c r="A52" s="180"/>
      <c r="B52" s="11" t="s">
        <v>86</v>
      </c>
      <c r="C52" s="12" t="s">
        <v>36</v>
      </c>
      <c r="D52" s="17">
        <f t="shared" si="18"/>
        <v>8500000</v>
      </c>
      <c r="E52" s="18">
        <f>'5.8. Sportfeladatok'!E17</f>
        <v>0</v>
      </c>
      <c r="F52" s="19">
        <f>'5.8. Sportfeladatok'!F17</f>
        <v>0</v>
      </c>
      <c r="G52" s="19">
        <f>'5.8. Sportfeladatok'!G17</f>
        <v>0</v>
      </c>
      <c r="H52" s="19">
        <f>'5.8. Sportfeladatok'!H17</f>
        <v>0</v>
      </c>
      <c r="I52" s="19">
        <f>'5.8. Sportfeladatok'!I17</f>
        <v>8500000</v>
      </c>
      <c r="J52" s="19">
        <f>'5.8. Sportfeladatok'!J17</f>
        <v>0</v>
      </c>
      <c r="K52" s="19">
        <f>'5.8. Sportfeladatok'!K17</f>
        <v>0</v>
      </c>
      <c r="L52" s="27">
        <f>'5.8. Sportfeladatok'!L17</f>
        <v>0</v>
      </c>
      <c r="M52" s="17">
        <f t="shared" si="20"/>
        <v>12472800</v>
      </c>
      <c r="N52" s="18">
        <f>'5.8. Sportfeladatok'!N17</f>
        <v>8640000</v>
      </c>
      <c r="O52" s="19">
        <f>'5.8. Sportfeladatok'!O17</f>
        <v>2332800</v>
      </c>
      <c r="P52" s="19">
        <f>'5.8. Sportfeladatok'!P17</f>
        <v>0</v>
      </c>
      <c r="Q52" s="19">
        <f>'5.8. Sportfeladatok'!Q17</f>
        <v>0</v>
      </c>
      <c r="R52" s="19">
        <f>'5.8. Sportfeladatok'!R17</f>
        <v>1500000</v>
      </c>
      <c r="S52" s="19">
        <f>'5.8. Sportfeladatok'!S17</f>
        <v>0</v>
      </c>
      <c r="T52" s="19">
        <f>'5.8. Sportfeladatok'!T17</f>
        <v>0</v>
      </c>
      <c r="U52" s="27">
        <f>'5.8. Sportfeladatok'!U17</f>
        <v>0</v>
      </c>
    </row>
    <row r="53" spans="1:21" s="7" customFormat="1" ht="20.25" customHeight="1">
      <c r="A53" s="180"/>
      <c r="B53" s="11" t="s">
        <v>87</v>
      </c>
      <c r="C53" s="21" t="s">
        <v>38</v>
      </c>
      <c r="D53" s="17">
        <f t="shared" si="18"/>
        <v>0</v>
      </c>
      <c r="E53" s="22">
        <f>'5.8. Sportfeladatok'!E20</f>
        <v>0</v>
      </c>
      <c r="F53" s="23">
        <f>'5.8. Sportfeladatok'!F20</f>
        <v>0</v>
      </c>
      <c r="G53" s="23">
        <f>'5.8. Sportfeladatok'!G20</f>
        <v>0</v>
      </c>
      <c r="H53" s="23">
        <f>'5.8. Sportfeladatok'!H20</f>
        <v>0</v>
      </c>
      <c r="I53" s="23">
        <f>'5.8. Sportfeladatok'!I20</f>
        <v>0</v>
      </c>
      <c r="J53" s="23">
        <f>'5.8. Sportfeladatok'!J20</f>
        <v>0</v>
      </c>
      <c r="K53" s="23">
        <f>'5.8. Sportfeladatok'!K20</f>
        <v>0</v>
      </c>
      <c r="L53" s="28">
        <f>'5.8. Sportfeladatok'!L20</f>
        <v>0</v>
      </c>
      <c r="M53" s="17">
        <f t="shared" si="20"/>
        <v>0</v>
      </c>
      <c r="N53" s="22">
        <f>'5.8. Sportfeladatok'!N20</f>
        <v>0</v>
      </c>
      <c r="O53" s="23">
        <f>'5.8. Sportfeladatok'!O20</f>
        <v>0</v>
      </c>
      <c r="P53" s="23">
        <f>'5.8. Sportfeladatok'!P20</f>
        <v>0</v>
      </c>
      <c r="Q53" s="23">
        <f>'5.8. Sportfeladatok'!Q20</f>
        <v>0</v>
      </c>
      <c r="R53" s="23">
        <f>'5.8. Sportfeladatok'!R20</f>
        <v>0</v>
      </c>
      <c r="S53" s="23">
        <f>'5.8. Sportfeladatok'!S20</f>
        <v>0</v>
      </c>
      <c r="T53" s="23">
        <f>'5.8. Sportfeladatok'!T20</f>
        <v>0</v>
      </c>
      <c r="U53" s="28">
        <f>'5.8. Sportfeladatok'!U20</f>
        <v>0</v>
      </c>
    </row>
    <row r="54" spans="1:21" s="7" customFormat="1" ht="20.25" customHeight="1">
      <c r="A54" s="9" t="s">
        <v>88</v>
      </c>
      <c r="B54" s="179" t="s">
        <v>89</v>
      </c>
      <c r="C54" s="179"/>
      <c r="D54" s="10">
        <f t="shared" si="18"/>
        <v>422240000</v>
      </c>
      <c r="E54" s="10">
        <f aca="true" t="shared" si="26" ref="E54:L54">SUM(E55:E56)</f>
        <v>0</v>
      </c>
      <c r="F54" s="10">
        <f t="shared" si="26"/>
        <v>0</v>
      </c>
      <c r="G54" s="10">
        <f t="shared" si="26"/>
        <v>0</v>
      </c>
      <c r="H54" s="10">
        <f t="shared" si="26"/>
        <v>422240000</v>
      </c>
      <c r="I54" s="10">
        <f t="shared" si="26"/>
        <v>0</v>
      </c>
      <c r="J54" s="10">
        <f t="shared" si="26"/>
        <v>0</v>
      </c>
      <c r="K54" s="10">
        <f t="shared" si="26"/>
        <v>0</v>
      </c>
      <c r="L54" s="10">
        <f t="shared" si="26"/>
        <v>0</v>
      </c>
      <c r="M54" s="10">
        <f t="shared" si="20"/>
        <v>440364609</v>
      </c>
      <c r="N54" s="10">
        <f aca="true" t="shared" si="27" ref="N54:U54">SUM(N55:N56)</f>
        <v>0</v>
      </c>
      <c r="O54" s="10">
        <f t="shared" si="27"/>
        <v>0</v>
      </c>
      <c r="P54" s="10">
        <f t="shared" si="27"/>
        <v>0</v>
      </c>
      <c r="Q54" s="10">
        <f t="shared" si="27"/>
        <v>440364609</v>
      </c>
      <c r="R54" s="10">
        <f t="shared" si="27"/>
        <v>0</v>
      </c>
      <c r="S54" s="10">
        <f t="shared" si="27"/>
        <v>0</v>
      </c>
      <c r="T54" s="10">
        <f t="shared" si="27"/>
        <v>0</v>
      </c>
      <c r="U54" s="10">
        <f t="shared" si="27"/>
        <v>0</v>
      </c>
    </row>
    <row r="55" spans="1:21" s="7" customFormat="1" ht="20.25" customHeight="1">
      <c r="A55" s="180"/>
      <c r="B55" s="11" t="s">
        <v>90</v>
      </c>
      <c r="C55" s="12" t="s">
        <v>34</v>
      </c>
      <c r="D55" s="17">
        <f t="shared" si="18"/>
        <v>156000000</v>
      </c>
      <c r="E55" s="14">
        <f>'5.9. Szoc'!F10</f>
        <v>0</v>
      </c>
      <c r="F55" s="15">
        <f>'5.9. Szoc'!G10</f>
        <v>0</v>
      </c>
      <c r="G55" s="15">
        <f>'5.9. Szoc'!H10</f>
        <v>0</v>
      </c>
      <c r="H55" s="15">
        <f>'5.9. Szoc'!I10</f>
        <v>156000000</v>
      </c>
      <c r="I55" s="15">
        <f>'5.9. Szoc'!J10</f>
        <v>0</v>
      </c>
      <c r="J55" s="15">
        <f>'5.9. Szoc'!K10</f>
        <v>0</v>
      </c>
      <c r="K55" s="15">
        <f>'5.9. Szoc'!L10</f>
        <v>0</v>
      </c>
      <c r="L55" s="26">
        <f>'5.9. Szoc'!M10</f>
        <v>0</v>
      </c>
      <c r="M55" s="17">
        <f t="shared" si="20"/>
        <v>174641218</v>
      </c>
      <c r="N55" s="14">
        <f>'5.9. Szoc'!O10</f>
        <v>0</v>
      </c>
      <c r="O55" s="15">
        <f>'5.9. Szoc'!P10</f>
        <v>0</v>
      </c>
      <c r="P55" s="15">
        <f>'5.9. Szoc'!Q10</f>
        <v>0</v>
      </c>
      <c r="Q55" s="15">
        <f>'5.9. Szoc'!R10</f>
        <v>174641218</v>
      </c>
      <c r="R55" s="15">
        <f>'5.9. Szoc'!S10</f>
        <v>0</v>
      </c>
      <c r="S55" s="15">
        <f>'5.9. Szoc'!T10</f>
        <v>0</v>
      </c>
      <c r="T55" s="15">
        <f>'5.9. Szoc'!U10</f>
        <v>0</v>
      </c>
      <c r="U55" s="26">
        <f>'5.9. Szoc'!V10</f>
        <v>0</v>
      </c>
    </row>
    <row r="56" spans="1:21" s="7" customFormat="1" ht="20.25" customHeight="1">
      <c r="A56" s="180"/>
      <c r="B56" s="11" t="s">
        <v>91</v>
      </c>
      <c r="C56" s="12" t="s">
        <v>36</v>
      </c>
      <c r="D56" s="17">
        <f t="shared" si="18"/>
        <v>266240000</v>
      </c>
      <c r="E56" s="18">
        <f>'5.9. Szoc'!F23</f>
        <v>0</v>
      </c>
      <c r="F56" s="19">
        <f>'5.9. Szoc'!G23</f>
        <v>0</v>
      </c>
      <c r="G56" s="19">
        <f>'5.9. Szoc'!H23</f>
        <v>0</v>
      </c>
      <c r="H56" s="19">
        <f>'5.9. Szoc'!I23</f>
        <v>266240000</v>
      </c>
      <c r="I56" s="19">
        <f>'5.9. Szoc'!J23</f>
        <v>0</v>
      </c>
      <c r="J56" s="19">
        <f>'5.9. Szoc'!K23</f>
        <v>0</v>
      </c>
      <c r="K56" s="19">
        <f>'5.9. Szoc'!L23</f>
        <v>0</v>
      </c>
      <c r="L56" s="27">
        <f>'5.9. Szoc'!M23</f>
        <v>0</v>
      </c>
      <c r="M56" s="17">
        <f t="shared" si="20"/>
        <v>265723391</v>
      </c>
      <c r="N56" s="18">
        <f>'5.9. Szoc'!O23</f>
        <v>0</v>
      </c>
      <c r="O56" s="19">
        <f>'5.9. Szoc'!P23</f>
        <v>0</v>
      </c>
      <c r="P56" s="19">
        <f>'5.9. Szoc'!Q23</f>
        <v>0</v>
      </c>
      <c r="Q56" s="19">
        <f>'5.9. Szoc'!R23</f>
        <v>265723391</v>
      </c>
      <c r="R56" s="19">
        <f>'5.9. Szoc'!S23</f>
        <v>0</v>
      </c>
      <c r="S56" s="19">
        <f>'5.9. Szoc'!T23</f>
        <v>0</v>
      </c>
      <c r="T56" s="19">
        <f>'5.9. Szoc'!U23</f>
        <v>0</v>
      </c>
      <c r="U56" s="27">
        <f>'5.9. Szoc'!V23</f>
        <v>0</v>
      </c>
    </row>
    <row r="57" spans="1:21" s="7" customFormat="1" ht="20.25" customHeight="1">
      <c r="A57" s="180"/>
      <c r="B57" s="11" t="s">
        <v>92</v>
      </c>
      <c r="C57" s="21" t="s">
        <v>38</v>
      </c>
      <c r="D57" s="13">
        <f t="shared" si="18"/>
        <v>0</v>
      </c>
      <c r="E57" s="22">
        <f>'5.9. Szoc'!F29</f>
        <v>0</v>
      </c>
      <c r="F57" s="23">
        <f>'5.9. Szoc'!G29</f>
        <v>0</v>
      </c>
      <c r="G57" s="23">
        <f>'5.9. Szoc'!H29</f>
        <v>0</v>
      </c>
      <c r="H57" s="23">
        <f>'5.9. Szoc'!I29</f>
        <v>0</v>
      </c>
      <c r="I57" s="23">
        <f>'5.9. Szoc'!J29</f>
        <v>0</v>
      </c>
      <c r="J57" s="23">
        <f>'5.9. Szoc'!K29</f>
        <v>0</v>
      </c>
      <c r="K57" s="23">
        <f>'5.9. Szoc'!L29</f>
        <v>0</v>
      </c>
      <c r="L57" s="28">
        <f>'5.9. Szoc'!M29</f>
        <v>0</v>
      </c>
      <c r="M57" s="13">
        <f t="shared" si="20"/>
        <v>0</v>
      </c>
      <c r="N57" s="22">
        <f>'5.9. Szoc'!O29</f>
        <v>0</v>
      </c>
      <c r="O57" s="23">
        <f>'5.9. Szoc'!P29</f>
        <v>0</v>
      </c>
      <c r="P57" s="23">
        <f>'5.9. Szoc'!Q29</f>
        <v>0</v>
      </c>
      <c r="Q57" s="23">
        <f>'5.9. Szoc'!R29</f>
        <v>0</v>
      </c>
      <c r="R57" s="23">
        <f>'5.9. Szoc'!S29</f>
        <v>0</v>
      </c>
      <c r="S57" s="23">
        <f>'5.9. Szoc'!T29</f>
        <v>0</v>
      </c>
      <c r="T57" s="23">
        <f>'5.9. Szoc'!U29</f>
        <v>0</v>
      </c>
      <c r="U57" s="28">
        <f>'5.9. Szoc'!V29</f>
        <v>0</v>
      </c>
    </row>
    <row r="58" spans="1:21" s="7" customFormat="1" ht="20.25" customHeight="1">
      <c r="A58" s="9" t="s">
        <v>93</v>
      </c>
      <c r="B58" s="179" t="s">
        <v>94</v>
      </c>
      <c r="C58" s="179"/>
      <c r="D58" s="10">
        <f t="shared" si="18"/>
        <v>90000000</v>
      </c>
      <c r="E58" s="10">
        <f aca="true" t="shared" si="28" ref="E58:L58">SUM(E59:E61)</f>
        <v>0</v>
      </c>
      <c r="F58" s="10">
        <f t="shared" si="28"/>
        <v>0</v>
      </c>
      <c r="G58" s="10">
        <f t="shared" si="28"/>
        <v>0</v>
      </c>
      <c r="H58" s="10">
        <f t="shared" si="28"/>
        <v>0</v>
      </c>
      <c r="I58" s="10">
        <f t="shared" si="28"/>
        <v>90000000</v>
      </c>
      <c r="J58" s="10">
        <f t="shared" si="28"/>
        <v>0</v>
      </c>
      <c r="K58" s="10">
        <f t="shared" si="28"/>
        <v>0</v>
      </c>
      <c r="L58" s="10">
        <f t="shared" si="28"/>
        <v>0</v>
      </c>
      <c r="M58" s="10">
        <f t="shared" si="20"/>
        <v>90201149</v>
      </c>
      <c r="N58" s="10">
        <f aca="true" t="shared" si="29" ref="N58:U58">SUM(N59:N61)</f>
        <v>0</v>
      </c>
      <c r="O58" s="10">
        <f t="shared" si="29"/>
        <v>0</v>
      </c>
      <c r="P58" s="10">
        <f t="shared" si="29"/>
        <v>0</v>
      </c>
      <c r="Q58" s="10">
        <f t="shared" si="29"/>
        <v>0</v>
      </c>
      <c r="R58" s="10">
        <f t="shared" si="29"/>
        <v>90201149</v>
      </c>
      <c r="S58" s="10">
        <f t="shared" si="29"/>
        <v>0</v>
      </c>
      <c r="T58" s="10">
        <f t="shared" si="29"/>
        <v>0</v>
      </c>
      <c r="U58" s="10">
        <f t="shared" si="29"/>
        <v>0</v>
      </c>
    </row>
    <row r="59" spans="1:21" s="7" customFormat="1" ht="20.25" customHeight="1">
      <c r="A59" s="180"/>
      <c r="B59" s="11" t="s">
        <v>95</v>
      </c>
      <c r="C59" s="12" t="s">
        <v>34</v>
      </c>
      <c r="D59" s="17">
        <f t="shared" si="18"/>
        <v>90000000</v>
      </c>
      <c r="E59" s="14">
        <v>0</v>
      </c>
      <c r="F59" s="15">
        <v>0</v>
      </c>
      <c r="G59" s="15">
        <v>0</v>
      </c>
      <c r="H59" s="15">
        <v>0</v>
      </c>
      <c r="I59" s="15">
        <v>90000000</v>
      </c>
      <c r="J59" s="15">
        <v>0</v>
      </c>
      <c r="K59" s="15">
        <v>0</v>
      </c>
      <c r="L59" s="16">
        <v>0</v>
      </c>
      <c r="M59" s="17">
        <f t="shared" si="20"/>
        <v>90201149</v>
      </c>
      <c r="N59" s="14">
        <v>0</v>
      </c>
      <c r="O59" s="15">
        <v>0</v>
      </c>
      <c r="P59" s="15">
        <v>0</v>
      </c>
      <c r="Q59" s="15">
        <v>0</v>
      </c>
      <c r="R59" s="15">
        <v>90201149</v>
      </c>
      <c r="S59" s="15">
        <v>0</v>
      </c>
      <c r="T59" s="15">
        <v>0</v>
      </c>
      <c r="U59" s="16">
        <v>0</v>
      </c>
    </row>
    <row r="60" spans="1:21" s="7" customFormat="1" ht="20.25" customHeight="1">
      <c r="A60" s="180"/>
      <c r="B60" s="11" t="s">
        <v>96</v>
      </c>
      <c r="C60" s="12" t="s">
        <v>36</v>
      </c>
      <c r="D60" s="17">
        <f t="shared" si="18"/>
        <v>0</v>
      </c>
      <c r="E60" s="18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0">
        <v>0</v>
      </c>
      <c r="M60" s="17">
        <f t="shared" si="20"/>
        <v>0</v>
      </c>
      <c r="N60" s="18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20">
        <v>0</v>
      </c>
    </row>
    <row r="61" spans="1:21" s="7" customFormat="1" ht="20.25" customHeight="1">
      <c r="A61" s="180"/>
      <c r="B61" s="11" t="s">
        <v>97</v>
      </c>
      <c r="C61" s="21" t="s">
        <v>38</v>
      </c>
      <c r="D61" s="17">
        <f t="shared" si="18"/>
        <v>0</v>
      </c>
      <c r="E61" s="22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4">
        <v>0</v>
      </c>
      <c r="M61" s="17">
        <f t="shared" si="20"/>
        <v>0</v>
      </c>
      <c r="N61" s="22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4">
        <v>0</v>
      </c>
    </row>
    <row r="62" spans="1:21" s="7" customFormat="1" ht="20.25" customHeight="1">
      <c r="A62" s="9" t="s">
        <v>98</v>
      </c>
      <c r="B62" s="179" t="s">
        <v>99</v>
      </c>
      <c r="C62" s="179"/>
      <c r="D62" s="10">
        <f t="shared" si="18"/>
        <v>75799000</v>
      </c>
      <c r="E62" s="10">
        <f aca="true" t="shared" si="30" ref="E62:L62">SUM(E63:E65)</f>
        <v>2850000</v>
      </c>
      <c r="F62" s="10">
        <f t="shared" si="30"/>
        <v>775000</v>
      </c>
      <c r="G62" s="10">
        <f t="shared" si="30"/>
        <v>28174000</v>
      </c>
      <c r="H62" s="10">
        <f t="shared" si="30"/>
        <v>0</v>
      </c>
      <c r="I62" s="10">
        <f t="shared" si="30"/>
        <v>44000000</v>
      </c>
      <c r="J62" s="10">
        <f t="shared" si="30"/>
        <v>0</v>
      </c>
      <c r="K62" s="10">
        <f t="shared" si="30"/>
        <v>0</v>
      </c>
      <c r="L62" s="10">
        <f t="shared" si="30"/>
        <v>0</v>
      </c>
      <c r="M62" s="10">
        <f t="shared" si="20"/>
        <v>94431644</v>
      </c>
      <c r="N62" s="10">
        <f aca="true" t="shared" si="31" ref="N62:U62">SUM(N63:N65)</f>
        <v>1023349</v>
      </c>
      <c r="O62" s="10">
        <f t="shared" si="31"/>
        <v>975415</v>
      </c>
      <c r="P62" s="10">
        <f t="shared" si="31"/>
        <v>32413377</v>
      </c>
      <c r="Q62" s="10">
        <f t="shared" si="31"/>
        <v>0</v>
      </c>
      <c r="R62" s="10">
        <f t="shared" si="31"/>
        <v>59419503</v>
      </c>
      <c r="S62" s="10">
        <f t="shared" si="31"/>
        <v>0</v>
      </c>
      <c r="T62" s="10">
        <f t="shared" si="31"/>
        <v>0</v>
      </c>
      <c r="U62" s="10">
        <f t="shared" si="31"/>
        <v>600000</v>
      </c>
    </row>
    <row r="63" spans="1:21" s="7" customFormat="1" ht="20.25" customHeight="1">
      <c r="A63" s="180"/>
      <c r="B63" s="11" t="s">
        <v>100</v>
      </c>
      <c r="C63" s="12" t="s">
        <v>34</v>
      </c>
      <c r="D63" s="17">
        <f t="shared" si="18"/>
        <v>75799000</v>
      </c>
      <c r="E63" s="14">
        <f>'5.10. Közművelődés'!F10</f>
        <v>2850000</v>
      </c>
      <c r="F63" s="15">
        <f>'5.10. Közművelődés'!G10</f>
        <v>775000</v>
      </c>
      <c r="G63" s="15">
        <f>'5.10. Közművelődés'!H10</f>
        <v>28174000</v>
      </c>
      <c r="H63" s="15">
        <f>'5.10. Közművelődés'!I10</f>
        <v>0</v>
      </c>
      <c r="I63" s="15">
        <f>'5.10. Közművelődés'!J10</f>
        <v>44000000</v>
      </c>
      <c r="J63" s="15">
        <f>'5.10. Közművelődés'!K10</f>
        <v>0</v>
      </c>
      <c r="K63" s="15">
        <f>'5.10. Közművelődés'!L10</f>
        <v>0</v>
      </c>
      <c r="L63" s="26">
        <f>'5.10. Közművelődés'!M10</f>
        <v>0</v>
      </c>
      <c r="M63" s="17">
        <f t="shared" si="20"/>
        <v>94431644</v>
      </c>
      <c r="N63" s="14">
        <f>'5.10. Közművelődés'!O10</f>
        <v>1023349</v>
      </c>
      <c r="O63" s="15">
        <f>'5.10. Közművelődés'!P10</f>
        <v>975415</v>
      </c>
      <c r="P63" s="15">
        <f>'5.10. Közművelődés'!Q10</f>
        <v>32413377</v>
      </c>
      <c r="Q63" s="15">
        <f>'5.10. Közművelődés'!R10</f>
        <v>0</v>
      </c>
      <c r="R63" s="15">
        <f>'5.10. Közművelődés'!S10</f>
        <v>59419503</v>
      </c>
      <c r="S63" s="15">
        <f>'5.10. Közművelődés'!T10</f>
        <v>0</v>
      </c>
      <c r="T63" s="15">
        <f>'5.10. Közművelődés'!U10</f>
        <v>0</v>
      </c>
      <c r="U63" s="26">
        <f>'5.10. Közművelődés'!V10</f>
        <v>600000</v>
      </c>
    </row>
    <row r="64" spans="1:21" s="7" customFormat="1" ht="20.25" customHeight="1">
      <c r="A64" s="180"/>
      <c r="B64" s="11" t="s">
        <v>101</v>
      </c>
      <c r="C64" s="12" t="s">
        <v>36</v>
      </c>
      <c r="D64" s="17">
        <f t="shared" si="18"/>
        <v>0</v>
      </c>
      <c r="E64" s="18">
        <f>'5.10. Közművelődés'!F44</f>
        <v>0</v>
      </c>
      <c r="F64" s="19">
        <f>'5.10. Közművelődés'!G44</f>
        <v>0</v>
      </c>
      <c r="G64" s="19">
        <f>'5.10. Közművelődés'!H44</f>
        <v>0</v>
      </c>
      <c r="H64" s="19">
        <f>'5.10. Közművelődés'!I44</f>
        <v>0</v>
      </c>
      <c r="I64" s="19">
        <f>'5.10. Közművelődés'!J44</f>
        <v>0</v>
      </c>
      <c r="J64" s="19">
        <f>'5.10. Közművelődés'!K44</f>
        <v>0</v>
      </c>
      <c r="K64" s="19">
        <f>'5.10. Közművelődés'!L44</f>
        <v>0</v>
      </c>
      <c r="L64" s="27">
        <f>'5.10. Közművelődés'!M44</f>
        <v>0</v>
      </c>
      <c r="M64" s="17">
        <f t="shared" si="20"/>
        <v>0</v>
      </c>
      <c r="N64" s="18">
        <f>'5.10. Közművelődés'!O44</f>
        <v>0</v>
      </c>
      <c r="O64" s="19">
        <f>'5.10. Közművelődés'!P44</f>
        <v>0</v>
      </c>
      <c r="P64" s="19">
        <f>'5.10. Közművelődés'!Q44</f>
        <v>0</v>
      </c>
      <c r="Q64" s="19">
        <f>'5.10. Közművelődés'!R44</f>
        <v>0</v>
      </c>
      <c r="R64" s="19">
        <f>'5.10. Közművelődés'!S44</f>
        <v>0</v>
      </c>
      <c r="S64" s="19">
        <f>'5.10. Közművelődés'!T44</f>
        <v>0</v>
      </c>
      <c r="T64" s="19">
        <f>'5.10. Közművelődés'!U44</f>
        <v>0</v>
      </c>
      <c r="U64" s="27">
        <f>'5.10. Közművelődés'!V44</f>
        <v>0</v>
      </c>
    </row>
    <row r="65" spans="1:21" s="7" customFormat="1" ht="20.25" customHeight="1">
      <c r="A65" s="180"/>
      <c r="B65" s="11" t="s">
        <v>102</v>
      </c>
      <c r="C65" s="21" t="s">
        <v>38</v>
      </c>
      <c r="D65" s="17">
        <f t="shared" si="18"/>
        <v>0</v>
      </c>
      <c r="E65" s="22">
        <f>'5.10. Közművelődés'!F45</f>
        <v>0</v>
      </c>
      <c r="F65" s="23">
        <f>'5.10. Közművelődés'!G45</f>
        <v>0</v>
      </c>
      <c r="G65" s="23">
        <f>'5.10. Közművelődés'!H45</f>
        <v>0</v>
      </c>
      <c r="H65" s="23">
        <f>'5.10. Közművelődés'!I45</f>
        <v>0</v>
      </c>
      <c r="I65" s="23">
        <f>'5.10. Közművelődés'!J45</f>
        <v>0</v>
      </c>
      <c r="J65" s="23">
        <f>'5.10. Közművelődés'!K45</f>
        <v>0</v>
      </c>
      <c r="K65" s="23">
        <f>'5.10. Közművelődés'!L45</f>
        <v>0</v>
      </c>
      <c r="L65" s="28">
        <f>'5.10. Közművelődés'!M45</f>
        <v>0</v>
      </c>
      <c r="M65" s="17">
        <f t="shared" si="20"/>
        <v>0</v>
      </c>
      <c r="N65" s="22">
        <f>'5.10. Közművelődés'!O45</f>
        <v>0</v>
      </c>
      <c r="O65" s="23">
        <f>'5.10. Közművelődés'!P45</f>
        <v>0</v>
      </c>
      <c r="P65" s="23">
        <f>'5.10. Közművelődés'!Q45</f>
        <v>0</v>
      </c>
      <c r="Q65" s="23">
        <f>'5.10. Közművelődés'!R45</f>
        <v>0</v>
      </c>
      <c r="R65" s="23">
        <f>'5.10. Közművelődés'!S45</f>
        <v>0</v>
      </c>
      <c r="S65" s="23">
        <f>'5.10. Közművelődés'!T45</f>
        <v>0</v>
      </c>
      <c r="T65" s="23">
        <f>'5.10. Közművelődés'!U45</f>
        <v>0</v>
      </c>
      <c r="U65" s="28">
        <f>'5.10. Közművelődés'!V45</f>
        <v>0</v>
      </c>
    </row>
    <row r="66" spans="1:21" s="7" customFormat="1" ht="20.25" customHeight="1">
      <c r="A66" s="9" t="s">
        <v>103</v>
      </c>
      <c r="B66" s="179" t="s">
        <v>104</v>
      </c>
      <c r="C66" s="179"/>
      <c r="D66" s="10">
        <f t="shared" si="18"/>
        <v>2081355650</v>
      </c>
      <c r="E66" s="10">
        <f aca="true" t="shared" si="32" ref="E66:L66">SUM(E67:E69)</f>
        <v>0</v>
      </c>
      <c r="F66" s="10">
        <f t="shared" si="32"/>
        <v>0</v>
      </c>
      <c r="G66" s="10">
        <f t="shared" si="32"/>
        <v>13797650</v>
      </c>
      <c r="H66" s="10">
        <f t="shared" si="32"/>
        <v>0</v>
      </c>
      <c r="I66" s="10">
        <f t="shared" si="32"/>
        <v>1827100000</v>
      </c>
      <c r="J66" s="10">
        <f t="shared" si="32"/>
        <v>31450000</v>
      </c>
      <c r="K66" s="10">
        <f t="shared" si="32"/>
        <v>0</v>
      </c>
      <c r="L66" s="10">
        <f t="shared" si="32"/>
        <v>209008000</v>
      </c>
      <c r="M66" s="10">
        <f t="shared" si="20"/>
        <v>2183593968</v>
      </c>
      <c r="N66" s="10">
        <f aca="true" t="shared" si="33" ref="N66:U66">SUM(N67:N69)</f>
        <v>0</v>
      </c>
      <c r="O66" s="10">
        <f t="shared" si="33"/>
        <v>0</v>
      </c>
      <c r="P66" s="10">
        <f t="shared" si="33"/>
        <v>13797650</v>
      </c>
      <c r="Q66" s="10">
        <f t="shared" si="33"/>
        <v>0</v>
      </c>
      <c r="R66" s="10">
        <f t="shared" si="33"/>
        <v>1929843318</v>
      </c>
      <c r="S66" s="10">
        <f t="shared" si="33"/>
        <v>4945000</v>
      </c>
      <c r="T66" s="10">
        <f t="shared" si="33"/>
        <v>0</v>
      </c>
      <c r="U66" s="10">
        <f t="shared" si="33"/>
        <v>235008000</v>
      </c>
    </row>
    <row r="67" spans="1:21" s="7" customFormat="1" ht="20.25" customHeight="1">
      <c r="A67" s="180"/>
      <c r="B67" s="11" t="s">
        <v>105</v>
      </c>
      <c r="C67" s="12" t="s">
        <v>34</v>
      </c>
      <c r="D67" s="17">
        <f t="shared" si="18"/>
        <v>1734458000</v>
      </c>
      <c r="E67" s="14">
        <f>'5.11. Támogatások'!F10</f>
        <v>0</v>
      </c>
      <c r="F67" s="15">
        <f>'5.11. Támogatások'!G10</f>
        <v>0</v>
      </c>
      <c r="G67" s="15">
        <f>'5.11. Támogatások'!H10</f>
        <v>0</v>
      </c>
      <c r="H67" s="15">
        <f>'5.11. Támogatások'!I10</f>
        <v>0</v>
      </c>
      <c r="I67" s="15">
        <f>'5.11. Támogatások'!J10</f>
        <v>1604000000</v>
      </c>
      <c r="J67" s="15">
        <f>'5.11. Támogatások'!K10</f>
        <v>1450000</v>
      </c>
      <c r="K67" s="15">
        <f>'5.11. Támogatások'!L10</f>
        <v>0</v>
      </c>
      <c r="L67" s="26">
        <f>'5.11. Támogatások'!M10</f>
        <v>129008000</v>
      </c>
      <c r="M67" s="17">
        <f t="shared" si="20"/>
        <v>1776696318</v>
      </c>
      <c r="N67" s="14">
        <f>'5.11. Támogatások'!O10</f>
        <v>0</v>
      </c>
      <c r="O67" s="15">
        <f>'5.11. Támogatások'!P10</f>
        <v>0</v>
      </c>
      <c r="P67" s="15">
        <f>'5.11. Támogatások'!Q10</f>
        <v>0</v>
      </c>
      <c r="Q67" s="15">
        <f>'5.11. Támogatások'!R10</f>
        <v>0</v>
      </c>
      <c r="R67" s="15">
        <f>'5.11. Támogatások'!S10</f>
        <v>1612843318</v>
      </c>
      <c r="S67" s="15">
        <f>'5.11. Támogatások'!T10</f>
        <v>4845000</v>
      </c>
      <c r="T67" s="15">
        <f>'5.11. Támogatások'!U10</f>
        <v>0</v>
      </c>
      <c r="U67" s="26">
        <f>'5.11. Támogatások'!V10</f>
        <v>159008000</v>
      </c>
    </row>
    <row r="68" spans="1:21" s="7" customFormat="1" ht="20.25" customHeight="1">
      <c r="A68" s="180"/>
      <c r="B68" s="11" t="s">
        <v>106</v>
      </c>
      <c r="C68" s="12" t="s">
        <v>36</v>
      </c>
      <c r="D68" s="17">
        <f t="shared" si="18"/>
        <v>346897650</v>
      </c>
      <c r="E68" s="18">
        <f>'5.11. Támogatások'!F23</f>
        <v>0</v>
      </c>
      <c r="F68" s="19">
        <f>'5.11. Támogatások'!G23</f>
        <v>0</v>
      </c>
      <c r="G68" s="19">
        <f>'5.11. Támogatások'!H23</f>
        <v>13797650</v>
      </c>
      <c r="H68" s="19">
        <f>'5.11. Támogatások'!I23</f>
        <v>0</v>
      </c>
      <c r="I68" s="19">
        <f>'5.11. Támogatások'!J23</f>
        <v>223100000</v>
      </c>
      <c r="J68" s="19">
        <f>'5.11. Támogatások'!K23</f>
        <v>30000000</v>
      </c>
      <c r="K68" s="19">
        <f>'5.11. Támogatások'!L23</f>
        <v>0</v>
      </c>
      <c r="L68" s="27">
        <f>'5.11. Támogatások'!M23</f>
        <v>80000000</v>
      </c>
      <c r="M68" s="17">
        <f t="shared" si="20"/>
        <v>406897650</v>
      </c>
      <c r="N68" s="18">
        <f>'5.11. Támogatások'!O23</f>
        <v>0</v>
      </c>
      <c r="O68" s="19">
        <f>'5.11. Támogatások'!P23</f>
        <v>0</v>
      </c>
      <c r="P68" s="19">
        <f>'5.11. Támogatások'!Q23</f>
        <v>13797650</v>
      </c>
      <c r="Q68" s="19">
        <f>'5.11. Támogatások'!R23</f>
        <v>0</v>
      </c>
      <c r="R68" s="19">
        <f>'5.11. Támogatások'!S23</f>
        <v>317000000</v>
      </c>
      <c r="S68" s="19">
        <f>'5.11. Támogatások'!T23</f>
        <v>100000</v>
      </c>
      <c r="T68" s="19">
        <f>'5.11. Támogatások'!U23</f>
        <v>0</v>
      </c>
      <c r="U68" s="27">
        <f>'5.11. Támogatások'!V23</f>
        <v>76000000</v>
      </c>
    </row>
    <row r="69" spans="1:21" s="7" customFormat="1" ht="20.25" customHeight="1">
      <c r="A69" s="180"/>
      <c r="B69" s="11" t="s">
        <v>107</v>
      </c>
      <c r="C69" s="21" t="s">
        <v>38</v>
      </c>
      <c r="D69" s="17">
        <f t="shared" si="18"/>
        <v>0</v>
      </c>
      <c r="E69" s="22">
        <f>'5.11. Támogatások'!F44</f>
        <v>0</v>
      </c>
      <c r="F69" s="23">
        <f>'5.11. Támogatások'!G44</f>
        <v>0</v>
      </c>
      <c r="G69" s="23">
        <f>'5.11. Támogatások'!H44</f>
        <v>0</v>
      </c>
      <c r="H69" s="23">
        <f>'5.11. Támogatások'!I44</f>
        <v>0</v>
      </c>
      <c r="I69" s="23">
        <f>'5.11. Támogatások'!J44</f>
        <v>0</v>
      </c>
      <c r="J69" s="23">
        <f>'5.11. Támogatások'!K44</f>
        <v>0</v>
      </c>
      <c r="K69" s="23">
        <f>'5.11. Támogatások'!L44</f>
        <v>0</v>
      </c>
      <c r="L69" s="28">
        <f>'5.11. Támogatások'!M44</f>
        <v>0</v>
      </c>
      <c r="M69" s="17">
        <f t="shared" si="20"/>
        <v>0</v>
      </c>
      <c r="N69" s="22">
        <f>'5.11. Támogatások'!O44</f>
        <v>0</v>
      </c>
      <c r="O69" s="23">
        <f>'5.11. Támogatások'!P44</f>
        <v>0</v>
      </c>
      <c r="P69" s="23">
        <f>'5.11. Támogatások'!Q44</f>
        <v>0</v>
      </c>
      <c r="Q69" s="23">
        <f>'5.11. Támogatások'!R44</f>
        <v>0</v>
      </c>
      <c r="R69" s="23">
        <f>'5.11. Támogatások'!S44</f>
        <v>0</v>
      </c>
      <c r="S69" s="23">
        <f>'5.11. Támogatások'!T44</f>
        <v>0</v>
      </c>
      <c r="T69" s="23">
        <f>'5.11. Támogatások'!U44</f>
        <v>0</v>
      </c>
      <c r="U69" s="28">
        <f>'5.11. Támogatások'!V44</f>
        <v>0</v>
      </c>
    </row>
    <row r="70" spans="1:21" s="7" customFormat="1" ht="20.25" customHeight="1">
      <c r="A70" s="9" t="s">
        <v>108</v>
      </c>
      <c r="B70" s="179" t="s">
        <v>109</v>
      </c>
      <c r="C70" s="179"/>
      <c r="D70" s="10">
        <f t="shared" si="18"/>
        <v>0</v>
      </c>
      <c r="E70" s="10">
        <f aca="true" t="shared" si="34" ref="E70:L70">SUM(E71:E73)</f>
        <v>0</v>
      </c>
      <c r="F70" s="10">
        <f t="shared" si="34"/>
        <v>0</v>
      </c>
      <c r="G70" s="10">
        <f t="shared" si="34"/>
        <v>0</v>
      </c>
      <c r="H70" s="10">
        <f t="shared" si="34"/>
        <v>0</v>
      </c>
      <c r="I70" s="10">
        <f t="shared" si="34"/>
        <v>0</v>
      </c>
      <c r="J70" s="10">
        <f t="shared" si="34"/>
        <v>0</v>
      </c>
      <c r="K70" s="10">
        <f t="shared" si="34"/>
        <v>0</v>
      </c>
      <c r="L70" s="10">
        <f t="shared" si="34"/>
        <v>0</v>
      </c>
      <c r="M70" s="10">
        <f t="shared" si="20"/>
        <v>14560887</v>
      </c>
      <c r="N70" s="10">
        <f aca="true" t="shared" si="35" ref="N70:U70">SUM(N71:N73)</f>
        <v>0</v>
      </c>
      <c r="O70" s="10">
        <f t="shared" si="35"/>
        <v>0</v>
      </c>
      <c r="P70" s="10">
        <f t="shared" si="35"/>
        <v>14560887</v>
      </c>
      <c r="Q70" s="10">
        <f t="shared" si="35"/>
        <v>0</v>
      </c>
      <c r="R70" s="10">
        <f t="shared" si="35"/>
        <v>0</v>
      </c>
      <c r="S70" s="10">
        <f t="shared" si="35"/>
        <v>0</v>
      </c>
      <c r="T70" s="10">
        <f t="shared" si="35"/>
        <v>0</v>
      </c>
      <c r="U70" s="10">
        <f t="shared" si="35"/>
        <v>0</v>
      </c>
    </row>
    <row r="71" spans="1:21" s="7" customFormat="1" ht="20.25" customHeight="1">
      <c r="A71" s="180"/>
      <c r="B71" s="11" t="s">
        <v>110</v>
      </c>
      <c r="C71" s="12" t="s">
        <v>34</v>
      </c>
      <c r="D71" s="17">
        <f t="shared" si="18"/>
        <v>0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6">
        <v>0</v>
      </c>
      <c r="M71" s="17">
        <f t="shared" si="20"/>
        <v>14560887</v>
      </c>
      <c r="N71" s="14">
        <v>0</v>
      </c>
      <c r="O71" s="15">
        <v>0</v>
      </c>
      <c r="P71" s="15">
        <v>14560887</v>
      </c>
      <c r="Q71" s="15">
        <v>0</v>
      </c>
      <c r="R71" s="15">
        <v>0</v>
      </c>
      <c r="S71" s="15">
        <v>0</v>
      </c>
      <c r="T71" s="15">
        <v>0</v>
      </c>
      <c r="U71" s="16">
        <v>0</v>
      </c>
    </row>
    <row r="72" spans="1:21" s="7" customFormat="1" ht="20.25" customHeight="1">
      <c r="A72" s="180"/>
      <c r="B72" s="11" t="s">
        <v>111</v>
      </c>
      <c r="C72" s="12" t="s">
        <v>36</v>
      </c>
      <c r="D72" s="17">
        <f t="shared" si="18"/>
        <v>0</v>
      </c>
      <c r="E72" s="18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0">
        <v>0</v>
      </c>
      <c r="M72" s="17">
        <f t="shared" si="20"/>
        <v>0</v>
      </c>
      <c r="N72" s="18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20">
        <v>0</v>
      </c>
    </row>
    <row r="73" spans="1:21" s="7" customFormat="1" ht="20.25" customHeight="1">
      <c r="A73" s="180"/>
      <c r="B73" s="11" t="s">
        <v>112</v>
      </c>
      <c r="C73" s="21" t="s">
        <v>38</v>
      </c>
      <c r="D73" s="17">
        <f t="shared" si="18"/>
        <v>0</v>
      </c>
      <c r="E73" s="22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4">
        <v>0</v>
      </c>
      <c r="M73" s="17">
        <f t="shared" si="20"/>
        <v>0</v>
      </c>
      <c r="N73" s="22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4">
        <v>0</v>
      </c>
    </row>
    <row r="74" spans="1:21" s="7" customFormat="1" ht="20.25" customHeight="1">
      <c r="A74" s="9" t="s">
        <v>113</v>
      </c>
      <c r="B74" s="179" t="s">
        <v>114</v>
      </c>
      <c r="C74" s="179"/>
      <c r="D74" s="10">
        <f aca="true" t="shared" si="36" ref="D74:D105">SUM(E74:L74)</f>
        <v>20400000</v>
      </c>
      <c r="E74" s="10">
        <f aca="true" t="shared" si="37" ref="E74:L74">SUM(E75:E77)</f>
        <v>0</v>
      </c>
      <c r="F74" s="10">
        <f t="shared" si="37"/>
        <v>0</v>
      </c>
      <c r="G74" s="10">
        <f t="shared" si="37"/>
        <v>0</v>
      </c>
      <c r="H74" s="10">
        <f t="shared" si="37"/>
        <v>0</v>
      </c>
      <c r="I74" s="10">
        <f t="shared" si="37"/>
        <v>20400000</v>
      </c>
      <c r="J74" s="10">
        <f t="shared" si="37"/>
        <v>0</v>
      </c>
      <c r="K74" s="10">
        <f t="shared" si="37"/>
        <v>0</v>
      </c>
      <c r="L74" s="10">
        <f t="shared" si="37"/>
        <v>0</v>
      </c>
      <c r="M74" s="10">
        <f aca="true" t="shared" si="38" ref="M74:M105">SUM(N74:U74)</f>
        <v>20358497</v>
      </c>
      <c r="N74" s="10">
        <f aca="true" t="shared" si="39" ref="N74:U74">SUM(N75:N77)</f>
        <v>0</v>
      </c>
      <c r="O74" s="10">
        <f t="shared" si="39"/>
        <v>0</v>
      </c>
      <c r="P74" s="10">
        <f t="shared" si="39"/>
        <v>0</v>
      </c>
      <c r="Q74" s="10">
        <f t="shared" si="39"/>
        <v>0</v>
      </c>
      <c r="R74" s="10">
        <f t="shared" si="39"/>
        <v>20358497</v>
      </c>
      <c r="S74" s="10">
        <f t="shared" si="39"/>
        <v>0</v>
      </c>
      <c r="T74" s="10">
        <f t="shared" si="39"/>
        <v>0</v>
      </c>
      <c r="U74" s="10">
        <f t="shared" si="39"/>
        <v>0</v>
      </c>
    </row>
    <row r="75" spans="1:21" s="7" customFormat="1" ht="20.25" customHeight="1">
      <c r="A75" s="180"/>
      <c r="B75" s="11" t="s">
        <v>115</v>
      </c>
      <c r="C75" s="12" t="s">
        <v>34</v>
      </c>
      <c r="D75" s="17">
        <f t="shared" si="36"/>
        <v>20400000</v>
      </c>
      <c r="E75" s="14">
        <v>0</v>
      </c>
      <c r="F75" s="15">
        <v>0</v>
      </c>
      <c r="G75" s="15">
        <v>0</v>
      </c>
      <c r="H75" s="15">
        <v>0</v>
      </c>
      <c r="I75" s="15">
        <v>20400000</v>
      </c>
      <c r="J75" s="15">
        <v>0</v>
      </c>
      <c r="K75" s="15">
        <v>0</v>
      </c>
      <c r="L75" s="16">
        <v>0</v>
      </c>
      <c r="M75" s="17">
        <f t="shared" si="38"/>
        <v>20358497</v>
      </c>
      <c r="N75" s="14">
        <v>0</v>
      </c>
      <c r="O75" s="15">
        <v>0</v>
      </c>
      <c r="P75" s="15">
        <v>0</v>
      </c>
      <c r="Q75" s="15">
        <v>0</v>
      </c>
      <c r="R75" s="15">
        <v>20358497</v>
      </c>
      <c r="S75" s="15">
        <v>0</v>
      </c>
      <c r="T75" s="15">
        <v>0</v>
      </c>
      <c r="U75" s="16">
        <v>0</v>
      </c>
    </row>
    <row r="76" spans="1:21" s="7" customFormat="1" ht="20.25" customHeight="1">
      <c r="A76" s="180"/>
      <c r="B76" s="11" t="s">
        <v>116</v>
      </c>
      <c r="C76" s="12" t="s">
        <v>36</v>
      </c>
      <c r="D76" s="17">
        <f t="shared" si="36"/>
        <v>0</v>
      </c>
      <c r="E76" s="18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0">
        <v>0</v>
      </c>
      <c r="M76" s="17">
        <f t="shared" si="38"/>
        <v>0</v>
      </c>
      <c r="N76" s="18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20">
        <v>0</v>
      </c>
    </row>
    <row r="77" spans="1:21" s="7" customFormat="1" ht="20.25" customHeight="1">
      <c r="A77" s="180"/>
      <c r="B77" s="11" t="s">
        <v>117</v>
      </c>
      <c r="C77" s="21" t="s">
        <v>38</v>
      </c>
      <c r="D77" s="17">
        <f t="shared" si="36"/>
        <v>0</v>
      </c>
      <c r="E77" s="22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4">
        <v>0</v>
      </c>
      <c r="M77" s="17">
        <f t="shared" si="38"/>
        <v>0</v>
      </c>
      <c r="N77" s="22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4">
        <v>0</v>
      </c>
    </row>
    <row r="78" spans="1:21" s="7" customFormat="1" ht="20.25" customHeight="1">
      <c r="A78" s="9" t="s">
        <v>118</v>
      </c>
      <c r="B78" s="179" t="s">
        <v>119</v>
      </c>
      <c r="C78" s="179"/>
      <c r="D78" s="10">
        <f t="shared" si="36"/>
        <v>45000000</v>
      </c>
      <c r="E78" s="10">
        <f aca="true" t="shared" si="40" ref="E78:L78">SUM(E79:E81)</f>
        <v>0</v>
      </c>
      <c r="F78" s="10">
        <f t="shared" si="40"/>
        <v>0</v>
      </c>
      <c r="G78" s="10">
        <f t="shared" si="40"/>
        <v>0</v>
      </c>
      <c r="H78" s="10">
        <f t="shared" si="40"/>
        <v>0</v>
      </c>
      <c r="I78" s="10">
        <f t="shared" si="40"/>
        <v>45000000</v>
      </c>
      <c r="J78" s="10">
        <f t="shared" si="40"/>
        <v>0</v>
      </c>
      <c r="K78" s="10">
        <f t="shared" si="40"/>
        <v>0</v>
      </c>
      <c r="L78" s="10">
        <f t="shared" si="40"/>
        <v>0</v>
      </c>
      <c r="M78" s="10">
        <f t="shared" si="38"/>
        <v>10000000</v>
      </c>
      <c r="N78" s="10">
        <f aca="true" t="shared" si="41" ref="N78:U78">SUM(N79:N81)</f>
        <v>0</v>
      </c>
      <c r="O78" s="10">
        <f t="shared" si="41"/>
        <v>0</v>
      </c>
      <c r="P78" s="10">
        <f t="shared" si="41"/>
        <v>0</v>
      </c>
      <c r="Q78" s="10">
        <f t="shared" si="41"/>
        <v>0</v>
      </c>
      <c r="R78" s="10">
        <f t="shared" si="41"/>
        <v>10000000</v>
      </c>
      <c r="S78" s="10">
        <f t="shared" si="41"/>
        <v>0</v>
      </c>
      <c r="T78" s="10">
        <f t="shared" si="41"/>
        <v>0</v>
      </c>
      <c r="U78" s="10">
        <f t="shared" si="41"/>
        <v>0</v>
      </c>
    </row>
    <row r="79" spans="1:21" s="7" customFormat="1" ht="20.25" customHeight="1">
      <c r="A79" s="180"/>
      <c r="B79" s="11" t="s">
        <v>120</v>
      </c>
      <c r="C79" s="12" t="s">
        <v>34</v>
      </c>
      <c r="D79" s="17">
        <f t="shared" si="36"/>
        <v>45000000</v>
      </c>
      <c r="E79" s="14">
        <v>0</v>
      </c>
      <c r="F79" s="15">
        <v>0</v>
      </c>
      <c r="G79" s="15">
        <v>0</v>
      </c>
      <c r="H79" s="15">
        <v>0</v>
      </c>
      <c r="I79" s="15">
        <v>45000000</v>
      </c>
      <c r="J79" s="15">
        <v>0</v>
      </c>
      <c r="K79" s="15">
        <v>0</v>
      </c>
      <c r="L79" s="26">
        <v>0</v>
      </c>
      <c r="M79" s="17">
        <f t="shared" si="38"/>
        <v>10000000</v>
      </c>
      <c r="N79" s="14">
        <v>0</v>
      </c>
      <c r="O79" s="15">
        <v>0</v>
      </c>
      <c r="P79" s="15">
        <v>0</v>
      </c>
      <c r="Q79" s="15">
        <v>0</v>
      </c>
      <c r="R79" s="15">
        <v>10000000</v>
      </c>
      <c r="S79" s="15">
        <v>0</v>
      </c>
      <c r="T79" s="15">
        <v>0</v>
      </c>
      <c r="U79" s="26">
        <v>0</v>
      </c>
    </row>
    <row r="80" spans="1:21" s="7" customFormat="1" ht="20.25" customHeight="1">
      <c r="A80" s="180"/>
      <c r="B80" s="11" t="s">
        <v>121</v>
      </c>
      <c r="C80" s="12" t="s">
        <v>36</v>
      </c>
      <c r="D80" s="17">
        <f t="shared" si="36"/>
        <v>0</v>
      </c>
      <c r="E80" s="18">
        <v>0</v>
      </c>
      <c r="F80" s="19">
        <v>0</v>
      </c>
      <c r="G80" s="19">
        <f>'5.17. Céltartalék'!G44</f>
        <v>0</v>
      </c>
      <c r="H80" s="19">
        <v>0</v>
      </c>
      <c r="I80" s="19">
        <v>0</v>
      </c>
      <c r="J80" s="19">
        <v>0</v>
      </c>
      <c r="K80" s="19">
        <v>0</v>
      </c>
      <c r="L80" s="27">
        <v>0</v>
      </c>
      <c r="M80" s="17">
        <f t="shared" si="38"/>
        <v>0</v>
      </c>
      <c r="N80" s="18">
        <v>0</v>
      </c>
      <c r="O80" s="19">
        <v>0</v>
      </c>
      <c r="P80" s="19">
        <f>'5.17. Céltartalék'!P44</f>
        <v>0</v>
      </c>
      <c r="Q80" s="19">
        <v>0</v>
      </c>
      <c r="R80" s="19">
        <v>0</v>
      </c>
      <c r="S80" s="19">
        <v>0</v>
      </c>
      <c r="T80" s="19">
        <v>0</v>
      </c>
      <c r="U80" s="27">
        <v>0</v>
      </c>
    </row>
    <row r="81" spans="1:21" s="7" customFormat="1" ht="20.25" customHeight="1">
      <c r="A81" s="180"/>
      <c r="B81" s="11" t="s">
        <v>122</v>
      </c>
      <c r="C81" s="29" t="s">
        <v>38</v>
      </c>
      <c r="D81" s="17">
        <f t="shared" si="36"/>
        <v>0</v>
      </c>
      <c r="E81" s="22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8">
        <v>0</v>
      </c>
      <c r="M81" s="17">
        <f t="shared" si="38"/>
        <v>0</v>
      </c>
      <c r="N81" s="22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8">
        <v>0</v>
      </c>
    </row>
    <row r="82" spans="1:21" s="7" customFormat="1" ht="20.25" customHeight="1">
      <c r="A82" s="9" t="s">
        <v>123</v>
      </c>
      <c r="B82" s="179" t="s">
        <v>124</v>
      </c>
      <c r="C82" s="179"/>
      <c r="D82" s="10">
        <f t="shared" si="36"/>
        <v>480000000</v>
      </c>
      <c r="E82" s="10">
        <f aca="true" t="shared" si="42" ref="E82:L82">SUM(E83:E85)</f>
        <v>0</v>
      </c>
      <c r="F82" s="10">
        <f t="shared" si="42"/>
        <v>0</v>
      </c>
      <c r="G82" s="10">
        <f t="shared" si="42"/>
        <v>0</v>
      </c>
      <c r="H82" s="10">
        <f t="shared" si="42"/>
        <v>0</v>
      </c>
      <c r="I82" s="10">
        <f t="shared" si="42"/>
        <v>480000000</v>
      </c>
      <c r="J82" s="10">
        <f t="shared" si="42"/>
        <v>0</v>
      </c>
      <c r="K82" s="10">
        <f t="shared" si="42"/>
        <v>0</v>
      </c>
      <c r="L82" s="10">
        <f t="shared" si="42"/>
        <v>0</v>
      </c>
      <c r="M82" s="10">
        <f t="shared" si="38"/>
        <v>515000000</v>
      </c>
      <c r="N82" s="10">
        <f aca="true" t="shared" si="43" ref="N82:U82">SUM(N83:N85)</f>
        <v>0</v>
      </c>
      <c r="O82" s="10">
        <f t="shared" si="43"/>
        <v>0</v>
      </c>
      <c r="P82" s="10">
        <f t="shared" si="43"/>
        <v>0</v>
      </c>
      <c r="Q82" s="10">
        <f t="shared" si="43"/>
        <v>0</v>
      </c>
      <c r="R82" s="10">
        <f t="shared" si="43"/>
        <v>215000000</v>
      </c>
      <c r="S82" s="10">
        <f t="shared" si="43"/>
        <v>0</v>
      </c>
      <c r="T82" s="10">
        <f t="shared" si="43"/>
        <v>0</v>
      </c>
      <c r="U82" s="10">
        <f t="shared" si="43"/>
        <v>300000000</v>
      </c>
    </row>
    <row r="83" spans="1:21" s="7" customFormat="1" ht="20.25" customHeight="1">
      <c r="A83" s="180"/>
      <c r="B83" s="11" t="s">
        <v>125</v>
      </c>
      <c r="C83" s="12" t="s">
        <v>34</v>
      </c>
      <c r="D83" s="17">
        <f t="shared" si="36"/>
        <v>480000000</v>
      </c>
      <c r="E83" s="14">
        <v>0</v>
      </c>
      <c r="F83" s="15">
        <v>0</v>
      </c>
      <c r="G83" s="15">
        <v>0</v>
      </c>
      <c r="H83" s="15">
        <v>0</v>
      </c>
      <c r="I83" s="15">
        <v>480000000</v>
      </c>
      <c r="J83" s="15">
        <v>0</v>
      </c>
      <c r="K83" s="15">
        <v>0</v>
      </c>
      <c r="L83" s="26">
        <v>0</v>
      </c>
      <c r="M83" s="17">
        <f t="shared" si="38"/>
        <v>515000000</v>
      </c>
      <c r="N83" s="14">
        <v>0</v>
      </c>
      <c r="O83" s="15">
        <v>0</v>
      </c>
      <c r="P83" s="15">
        <v>0</v>
      </c>
      <c r="Q83" s="15">
        <v>0</v>
      </c>
      <c r="R83" s="15">
        <v>215000000</v>
      </c>
      <c r="S83" s="15">
        <v>0</v>
      </c>
      <c r="T83" s="15">
        <v>0</v>
      </c>
      <c r="U83" s="26">
        <v>300000000</v>
      </c>
    </row>
    <row r="84" spans="1:21" s="7" customFormat="1" ht="20.25" customHeight="1">
      <c r="A84" s="180"/>
      <c r="B84" s="11" t="s">
        <v>126</v>
      </c>
      <c r="C84" s="12" t="s">
        <v>36</v>
      </c>
      <c r="D84" s="17">
        <f t="shared" si="36"/>
        <v>0</v>
      </c>
      <c r="E84" s="18">
        <v>0</v>
      </c>
      <c r="F84" s="19">
        <v>0</v>
      </c>
      <c r="G84" s="19">
        <f>'5.17. Céltartalék'!G48</f>
        <v>0</v>
      </c>
      <c r="H84" s="19">
        <v>0</v>
      </c>
      <c r="I84" s="19">
        <v>0</v>
      </c>
      <c r="J84" s="19">
        <v>0</v>
      </c>
      <c r="K84" s="19">
        <v>0</v>
      </c>
      <c r="L84" s="27">
        <v>0</v>
      </c>
      <c r="M84" s="17">
        <f t="shared" si="38"/>
        <v>0</v>
      </c>
      <c r="N84" s="18">
        <v>0</v>
      </c>
      <c r="O84" s="19">
        <v>0</v>
      </c>
      <c r="P84" s="19">
        <f>'5.17. Céltartalék'!P48</f>
        <v>0</v>
      </c>
      <c r="Q84" s="19">
        <v>0</v>
      </c>
      <c r="R84" s="19">
        <v>0</v>
      </c>
      <c r="S84" s="19">
        <v>0</v>
      </c>
      <c r="T84" s="19">
        <v>0</v>
      </c>
      <c r="U84" s="27">
        <v>0</v>
      </c>
    </row>
    <row r="85" spans="1:21" s="7" customFormat="1" ht="20.25" customHeight="1">
      <c r="A85" s="180"/>
      <c r="B85" s="11" t="s">
        <v>127</v>
      </c>
      <c r="C85" s="29" t="s">
        <v>38</v>
      </c>
      <c r="D85" s="17">
        <f t="shared" si="36"/>
        <v>0</v>
      </c>
      <c r="E85" s="22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8">
        <v>0</v>
      </c>
      <c r="M85" s="17">
        <f t="shared" si="38"/>
        <v>0</v>
      </c>
      <c r="N85" s="22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8">
        <v>0</v>
      </c>
    </row>
    <row r="86" spans="1:21" s="7" customFormat="1" ht="20.25" customHeight="1">
      <c r="A86" s="9" t="s">
        <v>128</v>
      </c>
      <c r="B86" s="179" t="s">
        <v>129</v>
      </c>
      <c r="C86" s="179"/>
      <c r="D86" s="10">
        <f t="shared" si="36"/>
        <v>3801210680</v>
      </c>
      <c r="E86" s="10">
        <f aca="true" t="shared" si="44" ref="E86:L86">SUM(E87:E89)</f>
        <v>20000000</v>
      </c>
      <c r="F86" s="10">
        <f t="shared" si="44"/>
        <v>7310000</v>
      </c>
      <c r="G86" s="10">
        <f t="shared" si="44"/>
        <v>1300886680</v>
      </c>
      <c r="H86" s="10">
        <f t="shared" si="44"/>
        <v>0</v>
      </c>
      <c r="I86" s="10">
        <f t="shared" si="44"/>
        <v>2467714000</v>
      </c>
      <c r="J86" s="10">
        <f t="shared" si="44"/>
        <v>4500000</v>
      </c>
      <c r="K86" s="10">
        <f t="shared" si="44"/>
        <v>800000</v>
      </c>
      <c r="L86" s="10">
        <f t="shared" si="44"/>
        <v>0</v>
      </c>
      <c r="M86" s="10">
        <f t="shared" si="38"/>
        <v>4116401858</v>
      </c>
      <c r="N86" s="10">
        <f aca="true" t="shared" si="45" ref="N86:U86">SUM(N87:N89)</f>
        <v>18316482</v>
      </c>
      <c r="O86" s="10">
        <f t="shared" si="45"/>
        <v>10467262</v>
      </c>
      <c r="P86" s="10">
        <f t="shared" si="45"/>
        <v>1184855223</v>
      </c>
      <c r="Q86" s="10">
        <f t="shared" si="45"/>
        <v>0</v>
      </c>
      <c r="R86" s="10">
        <f t="shared" si="45"/>
        <v>2802762891</v>
      </c>
      <c r="S86" s="10">
        <f t="shared" si="45"/>
        <v>0</v>
      </c>
      <c r="T86" s="10">
        <f t="shared" si="45"/>
        <v>0</v>
      </c>
      <c r="U86" s="10">
        <f t="shared" si="45"/>
        <v>100000000</v>
      </c>
    </row>
    <row r="87" spans="1:21" s="7" customFormat="1" ht="20.25" customHeight="1">
      <c r="A87" s="180"/>
      <c r="B87" s="11" t="s">
        <v>130</v>
      </c>
      <c r="C87" s="12" t="s">
        <v>34</v>
      </c>
      <c r="D87" s="17">
        <f t="shared" si="36"/>
        <v>3801210680</v>
      </c>
      <c r="E87" s="14">
        <f>'5.12. Egyéb kiadások'!E10</f>
        <v>20000000</v>
      </c>
      <c r="F87" s="15">
        <f>'5.12. Egyéb kiadások'!F10</f>
        <v>7310000</v>
      </c>
      <c r="G87" s="15">
        <f>'5.12. Egyéb kiadások'!G10</f>
        <v>1300886680</v>
      </c>
      <c r="H87" s="15">
        <f>'5.12. Egyéb kiadások'!H10</f>
        <v>0</v>
      </c>
      <c r="I87" s="15">
        <f>'5.12. Egyéb kiadások'!I10</f>
        <v>2467714000</v>
      </c>
      <c r="J87" s="15">
        <f>'5.12. Egyéb kiadások'!J10</f>
        <v>4500000</v>
      </c>
      <c r="K87" s="15">
        <f>'5.12. Egyéb kiadások'!K10</f>
        <v>800000</v>
      </c>
      <c r="L87" s="26">
        <f>'5.12. Egyéb kiadások'!L10</f>
        <v>0</v>
      </c>
      <c r="M87" s="17">
        <f t="shared" si="38"/>
        <v>4116401858</v>
      </c>
      <c r="N87" s="14">
        <f>'5.12. Egyéb kiadások'!N10</f>
        <v>18316482</v>
      </c>
      <c r="O87" s="15">
        <f>'5.12. Egyéb kiadások'!O10</f>
        <v>10467262</v>
      </c>
      <c r="P87" s="15">
        <f>'5.12. Egyéb kiadások'!P10</f>
        <v>1184855223</v>
      </c>
      <c r="Q87" s="15">
        <f>'5.12. Egyéb kiadások'!Q10</f>
        <v>0</v>
      </c>
      <c r="R87" s="15">
        <f>'5.12. Egyéb kiadások'!R10</f>
        <v>2802762891</v>
      </c>
      <c r="S87" s="15">
        <f>'5.12. Egyéb kiadások'!S10</f>
        <v>0</v>
      </c>
      <c r="T87" s="15">
        <f>'5.12. Egyéb kiadások'!T10</f>
        <v>0</v>
      </c>
      <c r="U87" s="26">
        <f>'5.12. Egyéb kiadások'!U10</f>
        <v>100000000</v>
      </c>
    </row>
    <row r="88" spans="1:21" s="7" customFormat="1" ht="20.25" customHeight="1">
      <c r="A88" s="180"/>
      <c r="B88" s="11" t="s">
        <v>131</v>
      </c>
      <c r="C88" s="12" t="s">
        <v>36</v>
      </c>
      <c r="D88" s="17">
        <f t="shared" si="36"/>
        <v>0</v>
      </c>
      <c r="E88" s="18">
        <f>'5.12. Egyéb kiadások'!E36</f>
        <v>0</v>
      </c>
      <c r="F88" s="19">
        <f>'5.12. Egyéb kiadások'!F36</f>
        <v>0</v>
      </c>
      <c r="G88" s="19">
        <f>'5.12. Egyéb kiadások'!G36</f>
        <v>0</v>
      </c>
      <c r="H88" s="19">
        <f>'5.12. Egyéb kiadások'!H36</f>
        <v>0</v>
      </c>
      <c r="I88" s="19">
        <f>'5.12. Egyéb kiadások'!I36</f>
        <v>0</v>
      </c>
      <c r="J88" s="19">
        <f>'5.12. Egyéb kiadások'!J36</f>
        <v>0</v>
      </c>
      <c r="K88" s="19">
        <f>'5.12. Egyéb kiadások'!K36</f>
        <v>0</v>
      </c>
      <c r="L88" s="27">
        <f>'5.12. Egyéb kiadások'!L36</f>
        <v>0</v>
      </c>
      <c r="M88" s="17">
        <f t="shared" si="38"/>
        <v>0</v>
      </c>
      <c r="N88" s="18">
        <f>'5.12. Egyéb kiadások'!N36</f>
        <v>0</v>
      </c>
      <c r="O88" s="19">
        <f>'5.12. Egyéb kiadások'!O36</f>
        <v>0</v>
      </c>
      <c r="P88" s="19">
        <f>'5.12. Egyéb kiadások'!P36</f>
        <v>0</v>
      </c>
      <c r="Q88" s="19">
        <f>'5.12. Egyéb kiadások'!Q36</f>
        <v>0</v>
      </c>
      <c r="R88" s="19">
        <f>'5.12. Egyéb kiadások'!R36</f>
        <v>0</v>
      </c>
      <c r="S88" s="19">
        <f>'5.12. Egyéb kiadások'!S36</f>
        <v>0</v>
      </c>
      <c r="T88" s="19">
        <f>'5.12. Egyéb kiadások'!T36</f>
        <v>0</v>
      </c>
      <c r="U88" s="27">
        <f>'5.12. Egyéb kiadások'!U36</f>
        <v>0</v>
      </c>
    </row>
    <row r="89" spans="1:21" s="7" customFormat="1" ht="20.25" customHeight="1">
      <c r="A89" s="180"/>
      <c r="B89" s="11" t="s">
        <v>132</v>
      </c>
      <c r="C89" s="21" t="s">
        <v>38</v>
      </c>
      <c r="D89" s="17">
        <f t="shared" si="36"/>
        <v>0</v>
      </c>
      <c r="E89" s="22">
        <f>'5.12. Egyéb kiadások'!E37</f>
        <v>0</v>
      </c>
      <c r="F89" s="23">
        <f>'5.12. Egyéb kiadások'!F37</f>
        <v>0</v>
      </c>
      <c r="G89" s="23">
        <f>'5.12. Egyéb kiadások'!G37</f>
        <v>0</v>
      </c>
      <c r="H89" s="23">
        <f>'5.12. Egyéb kiadások'!H37</f>
        <v>0</v>
      </c>
      <c r="I89" s="23">
        <f>'5.12. Egyéb kiadások'!I37</f>
        <v>0</v>
      </c>
      <c r="J89" s="23">
        <f>'5.12. Egyéb kiadások'!J37</f>
        <v>0</v>
      </c>
      <c r="K89" s="23">
        <f>'5.12. Egyéb kiadások'!K37</f>
        <v>0</v>
      </c>
      <c r="L89" s="28">
        <f>'5.12. Egyéb kiadások'!L37</f>
        <v>0</v>
      </c>
      <c r="M89" s="17">
        <f t="shared" si="38"/>
        <v>0</v>
      </c>
      <c r="N89" s="22">
        <f>'5.12. Egyéb kiadások'!N37</f>
        <v>0</v>
      </c>
      <c r="O89" s="23">
        <f>'5.12. Egyéb kiadások'!O37</f>
        <v>0</v>
      </c>
      <c r="P89" s="23">
        <f>'5.12. Egyéb kiadások'!P37</f>
        <v>0</v>
      </c>
      <c r="Q89" s="23">
        <f>'5.12. Egyéb kiadások'!Q37</f>
        <v>0</v>
      </c>
      <c r="R89" s="23">
        <f>'5.12. Egyéb kiadások'!R37</f>
        <v>0</v>
      </c>
      <c r="S89" s="23">
        <f>'5.12. Egyéb kiadások'!S37</f>
        <v>0</v>
      </c>
      <c r="T89" s="23">
        <f>'5.12. Egyéb kiadások'!T37</f>
        <v>0</v>
      </c>
      <c r="U89" s="28">
        <f>'5.12. Egyéb kiadások'!U37</f>
        <v>0</v>
      </c>
    </row>
    <row r="90" spans="1:21" s="7" customFormat="1" ht="20.25" customHeight="1">
      <c r="A90" s="9" t="s">
        <v>133</v>
      </c>
      <c r="B90" s="179" t="s">
        <v>134</v>
      </c>
      <c r="C90" s="179"/>
      <c r="D90" s="10">
        <f t="shared" si="36"/>
        <v>243122000</v>
      </c>
      <c r="E90" s="10">
        <f aca="true" t="shared" si="46" ref="E90:L90">SUM(E91:E93)</f>
        <v>21120000</v>
      </c>
      <c r="F90" s="10">
        <f t="shared" si="46"/>
        <v>10560000</v>
      </c>
      <c r="G90" s="10">
        <f t="shared" si="46"/>
        <v>201442000</v>
      </c>
      <c r="H90" s="10">
        <f t="shared" si="46"/>
        <v>0</v>
      </c>
      <c r="I90" s="10">
        <f t="shared" si="46"/>
        <v>10000000</v>
      </c>
      <c r="J90" s="10">
        <f t="shared" si="46"/>
        <v>0</v>
      </c>
      <c r="K90" s="10">
        <f t="shared" si="46"/>
        <v>0</v>
      </c>
      <c r="L90" s="10">
        <f t="shared" si="46"/>
        <v>0</v>
      </c>
      <c r="M90" s="10">
        <f t="shared" si="38"/>
        <v>427482387</v>
      </c>
      <c r="N90" s="10">
        <f aca="true" t="shared" si="47" ref="N90:U90">SUM(N91:N93)</f>
        <v>23462674</v>
      </c>
      <c r="O90" s="10">
        <f t="shared" si="47"/>
        <v>12185781</v>
      </c>
      <c r="P90" s="10">
        <f t="shared" si="47"/>
        <v>186248082</v>
      </c>
      <c r="Q90" s="10">
        <f t="shared" si="47"/>
        <v>0</v>
      </c>
      <c r="R90" s="10">
        <f t="shared" si="47"/>
        <v>179260000</v>
      </c>
      <c r="S90" s="10">
        <f t="shared" si="47"/>
        <v>26325850</v>
      </c>
      <c r="T90" s="10">
        <f t="shared" si="47"/>
        <v>0</v>
      </c>
      <c r="U90" s="10">
        <f t="shared" si="47"/>
        <v>0</v>
      </c>
    </row>
    <row r="91" spans="1:21" s="7" customFormat="1" ht="20.25" customHeight="1">
      <c r="A91" s="180"/>
      <c r="B91" s="11" t="s">
        <v>135</v>
      </c>
      <c r="C91" s="12" t="s">
        <v>34</v>
      </c>
      <c r="D91" s="17">
        <f t="shared" si="36"/>
        <v>0</v>
      </c>
      <c r="E91" s="14">
        <f>'5.13. Városmarketing'!E10</f>
        <v>0</v>
      </c>
      <c r="F91" s="15">
        <f>'5.13. Városmarketing'!F10</f>
        <v>0</v>
      </c>
      <c r="G91" s="15">
        <f>'5.13. Városmarketing'!G10</f>
        <v>0</v>
      </c>
      <c r="H91" s="15">
        <f>'5.13. Városmarketing'!H10</f>
        <v>0</v>
      </c>
      <c r="I91" s="15">
        <f>'5.13. Városmarketing'!I10</f>
        <v>0</v>
      </c>
      <c r="J91" s="15">
        <f>'5.13. Városmarketing'!J10</f>
        <v>0</v>
      </c>
      <c r="K91" s="15">
        <f>'5.13. Városmarketing'!K10</f>
        <v>0</v>
      </c>
      <c r="L91" s="26">
        <f>'5.13. Városmarketing'!L10</f>
        <v>0</v>
      </c>
      <c r="M91" s="17">
        <f t="shared" si="38"/>
        <v>0</v>
      </c>
      <c r="N91" s="14">
        <f>'5.13. Városmarketing'!N10</f>
        <v>0</v>
      </c>
      <c r="O91" s="15">
        <f>'5.13. Városmarketing'!O10</f>
        <v>0</v>
      </c>
      <c r="P91" s="15">
        <f>'5.13. Városmarketing'!P10</f>
        <v>0</v>
      </c>
      <c r="Q91" s="15">
        <f>'5.13. Városmarketing'!Q10</f>
        <v>0</v>
      </c>
      <c r="R91" s="15">
        <f>'5.13. Városmarketing'!R10</f>
        <v>0</v>
      </c>
      <c r="S91" s="15">
        <f>'5.13. Városmarketing'!S10</f>
        <v>0</v>
      </c>
      <c r="T91" s="15">
        <f>'5.13. Városmarketing'!T10</f>
        <v>0</v>
      </c>
      <c r="U91" s="26">
        <f>'5.13. Városmarketing'!U10</f>
        <v>0</v>
      </c>
    </row>
    <row r="92" spans="1:21" s="7" customFormat="1" ht="20.25" customHeight="1">
      <c r="A92" s="180"/>
      <c r="B92" s="11" t="s">
        <v>136</v>
      </c>
      <c r="C92" s="12" t="s">
        <v>36</v>
      </c>
      <c r="D92" s="17">
        <f t="shared" si="36"/>
        <v>243122000</v>
      </c>
      <c r="E92" s="18">
        <f>'5.13. Városmarketing'!E11</f>
        <v>21120000</v>
      </c>
      <c r="F92" s="19">
        <f>'5.13. Városmarketing'!F11</f>
        <v>10560000</v>
      </c>
      <c r="G92" s="19">
        <f>'5.13. Városmarketing'!G11</f>
        <v>201442000</v>
      </c>
      <c r="H92" s="19">
        <f>'5.13. Városmarketing'!H11</f>
        <v>0</v>
      </c>
      <c r="I92" s="19">
        <f>'5.13. Városmarketing'!I11</f>
        <v>10000000</v>
      </c>
      <c r="J92" s="19">
        <f>'5.13. Városmarketing'!J11</f>
        <v>0</v>
      </c>
      <c r="K92" s="19">
        <f>'5.13. Városmarketing'!K11</f>
        <v>0</v>
      </c>
      <c r="L92" s="27">
        <f>'5.13. Városmarketing'!L11</f>
        <v>0</v>
      </c>
      <c r="M92" s="17">
        <f t="shared" si="38"/>
        <v>427482387</v>
      </c>
      <c r="N92" s="18">
        <f>'5.13. Városmarketing'!N11</f>
        <v>23462674</v>
      </c>
      <c r="O92" s="19">
        <f>'5.13. Városmarketing'!O11</f>
        <v>12185781</v>
      </c>
      <c r="P92" s="19">
        <f>'5.13. Városmarketing'!P11</f>
        <v>186248082</v>
      </c>
      <c r="Q92" s="19">
        <f>'5.13. Városmarketing'!Q11</f>
        <v>0</v>
      </c>
      <c r="R92" s="19">
        <f>'5.13. Városmarketing'!R11</f>
        <v>179260000</v>
      </c>
      <c r="S92" s="19">
        <f>'5.13. Városmarketing'!S11</f>
        <v>26325850</v>
      </c>
      <c r="T92" s="19">
        <f>'5.13. Városmarketing'!T11</f>
        <v>0</v>
      </c>
      <c r="U92" s="27">
        <f>'5.13. Városmarketing'!U11</f>
        <v>0</v>
      </c>
    </row>
    <row r="93" spans="1:21" s="7" customFormat="1" ht="20.25" customHeight="1">
      <c r="A93" s="180"/>
      <c r="B93" s="11" t="s">
        <v>137</v>
      </c>
      <c r="C93" s="21" t="s">
        <v>38</v>
      </c>
      <c r="D93" s="17">
        <f t="shared" si="36"/>
        <v>0</v>
      </c>
      <c r="E93" s="22">
        <f>'5.13. Városmarketing'!E21</f>
        <v>0</v>
      </c>
      <c r="F93" s="23">
        <f>'5.13. Városmarketing'!F21</f>
        <v>0</v>
      </c>
      <c r="G93" s="23">
        <f>'5.13. Városmarketing'!G21</f>
        <v>0</v>
      </c>
      <c r="H93" s="23">
        <f>'5.13. Városmarketing'!H21</f>
        <v>0</v>
      </c>
      <c r="I93" s="23">
        <f>'5.13. Városmarketing'!I21</f>
        <v>0</v>
      </c>
      <c r="J93" s="23">
        <f>'5.13. Városmarketing'!J21</f>
        <v>0</v>
      </c>
      <c r="K93" s="23">
        <f>'5.13. Városmarketing'!K21</f>
        <v>0</v>
      </c>
      <c r="L93" s="28">
        <f>'5.13. Városmarketing'!L21</f>
        <v>0</v>
      </c>
      <c r="M93" s="17">
        <f t="shared" si="38"/>
        <v>0</v>
      </c>
      <c r="N93" s="22">
        <f>'5.13. Városmarketing'!N21</f>
        <v>0</v>
      </c>
      <c r="O93" s="23">
        <f>'5.13. Városmarketing'!O21</f>
        <v>0</v>
      </c>
      <c r="P93" s="23">
        <f>'5.13. Városmarketing'!P21</f>
        <v>0</v>
      </c>
      <c r="Q93" s="23">
        <f>'5.13. Városmarketing'!Q21</f>
        <v>0</v>
      </c>
      <c r="R93" s="23">
        <f>'5.13. Városmarketing'!R21</f>
        <v>0</v>
      </c>
      <c r="S93" s="23">
        <f>'5.13. Városmarketing'!S21</f>
        <v>0</v>
      </c>
      <c r="T93" s="23">
        <f>'5.13. Városmarketing'!T21</f>
        <v>0</v>
      </c>
      <c r="U93" s="28">
        <f>'5.13. Városmarketing'!U21</f>
        <v>0</v>
      </c>
    </row>
    <row r="94" spans="1:21" s="7" customFormat="1" ht="39" customHeight="1">
      <c r="A94" s="9" t="s">
        <v>138</v>
      </c>
      <c r="B94" s="179" t="s">
        <v>139</v>
      </c>
      <c r="C94" s="179"/>
      <c r="D94" s="10">
        <f t="shared" si="36"/>
        <v>10800000</v>
      </c>
      <c r="E94" s="10">
        <f aca="true" t="shared" si="48" ref="E94:L94">SUM(E95:E97)</f>
        <v>0</v>
      </c>
      <c r="F94" s="10">
        <f t="shared" si="48"/>
        <v>0</v>
      </c>
      <c r="G94" s="10">
        <f t="shared" si="48"/>
        <v>10800000</v>
      </c>
      <c r="H94" s="10">
        <f t="shared" si="48"/>
        <v>0</v>
      </c>
      <c r="I94" s="10">
        <f t="shared" si="48"/>
        <v>0</v>
      </c>
      <c r="J94" s="10">
        <f t="shared" si="48"/>
        <v>0</v>
      </c>
      <c r="K94" s="10">
        <f t="shared" si="48"/>
        <v>0</v>
      </c>
      <c r="L94" s="10">
        <f t="shared" si="48"/>
        <v>0</v>
      </c>
      <c r="M94" s="10">
        <f t="shared" si="38"/>
        <v>137748585</v>
      </c>
      <c r="N94" s="10">
        <f aca="true" t="shared" si="49" ref="N94:U94">SUM(N95:N97)</f>
        <v>2890000</v>
      </c>
      <c r="O94" s="10">
        <f t="shared" si="49"/>
        <v>1213265</v>
      </c>
      <c r="P94" s="10">
        <f t="shared" si="49"/>
        <v>23097335</v>
      </c>
      <c r="Q94" s="10">
        <f t="shared" si="49"/>
        <v>0</v>
      </c>
      <c r="R94" s="10">
        <f t="shared" si="49"/>
        <v>110547985</v>
      </c>
      <c r="S94" s="10">
        <f t="shared" si="49"/>
        <v>0</v>
      </c>
      <c r="T94" s="10">
        <f t="shared" si="49"/>
        <v>0</v>
      </c>
      <c r="U94" s="10">
        <f t="shared" si="49"/>
        <v>0</v>
      </c>
    </row>
    <row r="95" spans="1:21" s="7" customFormat="1" ht="20.25" customHeight="1">
      <c r="A95" s="180"/>
      <c r="B95" s="11" t="s">
        <v>140</v>
      </c>
      <c r="C95" s="12" t="s">
        <v>34</v>
      </c>
      <c r="D95" s="17">
        <f t="shared" si="36"/>
        <v>10800000</v>
      </c>
      <c r="E95" s="14">
        <f>'5.14. Nemzetközi pályázatok'!E10</f>
        <v>0</v>
      </c>
      <c r="F95" s="15">
        <f>'5.14. Nemzetközi pályázatok'!F10</f>
        <v>0</v>
      </c>
      <c r="G95" s="15">
        <f>'5.14. Nemzetközi pályázatok'!G10</f>
        <v>10800000</v>
      </c>
      <c r="H95" s="15">
        <f>'5.14. Nemzetközi pályázatok'!H10</f>
        <v>0</v>
      </c>
      <c r="I95" s="15">
        <f>'5.14. Nemzetközi pályázatok'!I10</f>
        <v>0</v>
      </c>
      <c r="J95" s="15">
        <f>'5.14. Nemzetközi pályázatok'!J10</f>
        <v>0</v>
      </c>
      <c r="K95" s="15">
        <f>'5.14. Nemzetközi pályázatok'!K10</f>
        <v>0</v>
      </c>
      <c r="L95" s="26">
        <f>'5.14. Nemzetközi pályázatok'!L10</f>
        <v>0</v>
      </c>
      <c r="M95" s="17">
        <f t="shared" si="38"/>
        <v>137748585</v>
      </c>
      <c r="N95" s="14">
        <f>'5.14. Nemzetközi pályázatok'!N10</f>
        <v>2890000</v>
      </c>
      <c r="O95" s="15">
        <f>'5.14. Nemzetközi pályázatok'!O10</f>
        <v>1213265</v>
      </c>
      <c r="P95" s="15">
        <f>'5.14. Nemzetközi pályázatok'!P10</f>
        <v>23097335</v>
      </c>
      <c r="Q95" s="15">
        <f>'5.14. Nemzetközi pályázatok'!Q10</f>
        <v>0</v>
      </c>
      <c r="R95" s="15">
        <f>'5.14. Nemzetközi pályázatok'!R10</f>
        <v>110547985</v>
      </c>
      <c r="S95" s="15">
        <f>'5.14. Nemzetközi pályázatok'!S10</f>
        <v>0</v>
      </c>
      <c r="T95" s="15">
        <f>'5.14. Nemzetközi pályázatok'!T10</f>
        <v>0</v>
      </c>
      <c r="U95" s="26">
        <f>'5.14. Nemzetközi pályázatok'!U10</f>
        <v>0</v>
      </c>
    </row>
    <row r="96" spans="1:21" s="7" customFormat="1" ht="20.25" customHeight="1">
      <c r="A96" s="180"/>
      <c r="B96" s="11" t="s">
        <v>141</v>
      </c>
      <c r="C96" s="12" t="s">
        <v>36</v>
      </c>
      <c r="D96" s="17">
        <f t="shared" si="36"/>
        <v>0</v>
      </c>
      <c r="E96" s="18">
        <f>'5.14. Nemzetközi pályázatok'!D23</f>
        <v>0</v>
      </c>
      <c r="F96" s="19">
        <f>'5.14. Nemzetközi pályázatok'!E23</f>
        <v>0</v>
      </c>
      <c r="G96" s="19">
        <f>'5.14. Nemzetközi pályázatok'!F23</f>
        <v>0</v>
      </c>
      <c r="H96" s="19">
        <f>'5.14. Nemzetközi pályázatok'!G23</f>
        <v>0</v>
      </c>
      <c r="I96" s="19">
        <f>'5.14. Nemzetközi pályázatok'!H23</f>
        <v>0</v>
      </c>
      <c r="J96" s="19">
        <f>'5.14. Nemzetközi pályázatok'!I23</f>
        <v>0</v>
      </c>
      <c r="K96" s="19">
        <f>'5.14. Nemzetközi pályázatok'!J23</f>
        <v>0</v>
      </c>
      <c r="L96" s="27">
        <f>'5.14. Nemzetközi pályázatok'!K23</f>
        <v>0</v>
      </c>
      <c r="M96" s="17">
        <f t="shared" si="38"/>
        <v>0</v>
      </c>
      <c r="N96" s="18">
        <f>'5.14. Nemzetközi pályázatok'!M23</f>
        <v>0</v>
      </c>
      <c r="O96" s="19">
        <f>'5.14. Nemzetközi pályázatok'!N23</f>
        <v>0</v>
      </c>
      <c r="P96" s="19">
        <f>'5.14. Nemzetközi pályázatok'!O23</f>
        <v>0</v>
      </c>
      <c r="Q96" s="19">
        <f>'5.14. Nemzetközi pályázatok'!P23</f>
        <v>0</v>
      </c>
      <c r="R96" s="19">
        <f>'5.14. Nemzetközi pályázatok'!Q23</f>
        <v>0</v>
      </c>
      <c r="S96" s="19">
        <f>'5.14. Nemzetközi pályázatok'!R23</f>
        <v>0</v>
      </c>
      <c r="T96" s="19">
        <f>'5.14. Nemzetközi pályázatok'!S23</f>
        <v>0</v>
      </c>
      <c r="U96" s="27">
        <f>'5.14. Nemzetközi pályázatok'!T23</f>
        <v>0</v>
      </c>
    </row>
    <row r="97" spans="1:21" s="7" customFormat="1" ht="20.25" customHeight="1">
      <c r="A97" s="180"/>
      <c r="B97" s="11" t="s">
        <v>142</v>
      </c>
      <c r="C97" s="21" t="s">
        <v>38</v>
      </c>
      <c r="D97" s="17">
        <f t="shared" si="36"/>
        <v>0</v>
      </c>
      <c r="E97" s="22">
        <f>'5.14. Nemzetközi pályázatok'!E24</f>
        <v>0</v>
      </c>
      <c r="F97" s="23">
        <f>'5.14. Nemzetközi pályázatok'!F24</f>
        <v>0</v>
      </c>
      <c r="G97" s="23">
        <f>'5.14. Nemzetközi pályázatok'!G24</f>
        <v>0</v>
      </c>
      <c r="H97" s="23">
        <f>'5.14. Nemzetközi pályázatok'!H24</f>
        <v>0</v>
      </c>
      <c r="I97" s="23">
        <f>'5.14. Nemzetközi pályázatok'!I24</f>
        <v>0</v>
      </c>
      <c r="J97" s="23">
        <f>'5.14. Nemzetközi pályázatok'!J24</f>
        <v>0</v>
      </c>
      <c r="K97" s="23">
        <f>'5.14. Nemzetközi pályázatok'!K24</f>
        <v>0</v>
      </c>
      <c r="L97" s="28">
        <f>'5.14. Nemzetközi pályázatok'!L24</f>
        <v>0</v>
      </c>
      <c r="M97" s="17">
        <f t="shared" si="38"/>
        <v>0</v>
      </c>
      <c r="N97" s="22">
        <f>'5.14. Nemzetközi pályázatok'!N24</f>
        <v>0</v>
      </c>
      <c r="O97" s="23">
        <f>'5.14. Nemzetközi pályázatok'!O24</f>
        <v>0</v>
      </c>
      <c r="P97" s="23">
        <f>'5.14. Nemzetközi pályázatok'!P24</f>
        <v>0</v>
      </c>
      <c r="Q97" s="23">
        <f>'5.14. Nemzetközi pályázatok'!Q24</f>
        <v>0</v>
      </c>
      <c r="R97" s="23">
        <f>'5.14. Nemzetközi pályázatok'!R24</f>
        <v>0</v>
      </c>
      <c r="S97" s="23">
        <f>'5.14. Nemzetközi pályázatok'!S24</f>
        <v>0</v>
      </c>
      <c r="T97" s="23">
        <f>'5.14. Nemzetközi pályázatok'!T24</f>
        <v>0</v>
      </c>
      <c r="U97" s="28">
        <f>'5.14. Nemzetközi pályázatok'!U24</f>
        <v>0</v>
      </c>
    </row>
    <row r="98" spans="1:21" s="7" customFormat="1" ht="20.25" customHeight="1">
      <c r="A98" s="9" t="s">
        <v>143</v>
      </c>
      <c r="B98" s="179" t="s">
        <v>144</v>
      </c>
      <c r="C98" s="179"/>
      <c r="D98" s="10">
        <f t="shared" si="36"/>
        <v>2111617769</v>
      </c>
      <c r="E98" s="10">
        <f aca="true" t="shared" si="50" ref="E98:L98">SUM(E99:E101)</f>
        <v>0</v>
      </c>
      <c r="F98" s="10">
        <f t="shared" si="50"/>
        <v>0</v>
      </c>
      <c r="G98" s="10">
        <f t="shared" si="50"/>
        <v>490638501</v>
      </c>
      <c r="H98" s="10">
        <f t="shared" si="50"/>
        <v>0</v>
      </c>
      <c r="I98" s="10">
        <f t="shared" si="50"/>
        <v>0</v>
      </c>
      <c r="J98" s="10">
        <f t="shared" si="50"/>
        <v>1587000000</v>
      </c>
      <c r="K98" s="10">
        <f t="shared" si="50"/>
        <v>23979268</v>
      </c>
      <c r="L98" s="10">
        <f t="shared" si="50"/>
        <v>10000000</v>
      </c>
      <c r="M98" s="10">
        <f t="shared" si="38"/>
        <v>2224370274</v>
      </c>
      <c r="N98" s="10">
        <f aca="true" t="shared" si="51" ref="N98:U98">SUM(N99:N101)</f>
        <v>0</v>
      </c>
      <c r="O98" s="10">
        <f t="shared" si="51"/>
        <v>0</v>
      </c>
      <c r="P98" s="10">
        <f t="shared" si="51"/>
        <v>552479468</v>
      </c>
      <c r="Q98" s="10">
        <f t="shared" si="51"/>
        <v>0</v>
      </c>
      <c r="R98" s="10">
        <f t="shared" si="51"/>
        <v>0</v>
      </c>
      <c r="S98" s="10">
        <f t="shared" si="51"/>
        <v>1636535368</v>
      </c>
      <c r="T98" s="10">
        <f t="shared" si="51"/>
        <v>22855438</v>
      </c>
      <c r="U98" s="10">
        <f t="shared" si="51"/>
        <v>12500000</v>
      </c>
    </row>
    <row r="99" spans="1:21" s="7" customFormat="1" ht="20.25" customHeight="1">
      <c r="A99" s="180"/>
      <c r="B99" s="11" t="s">
        <v>145</v>
      </c>
      <c r="C99" s="12" t="s">
        <v>34</v>
      </c>
      <c r="D99" s="17">
        <f t="shared" si="36"/>
        <v>2111617769</v>
      </c>
      <c r="E99" s="14">
        <f>'5.15. Vagyon'!E10</f>
        <v>0</v>
      </c>
      <c r="F99" s="15">
        <f>'5.15. Vagyon'!F10</f>
        <v>0</v>
      </c>
      <c r="G99" s="15">
        <f>'5.15. Vagyon'!G10</f>
        <v>490638501</v>
      </c>
      <c r="H99" s="15">
        <f>'5.15. Vagyon'!H10</f>
        <v>0</v>
      </c>
      <c r="I99" s="15">
        <f>'5.15. Vagyon'!I10</f>
        <v>0</v>
      </c>
      <c r="J99" s="15">
        <f>'5.15. Vagyon'!J10</f>
        <v>1587000000</v>
      </c>
      <c r="K99" s="15">
        <f>'5.15. Vagyon'!K10</f>
        <v>23979268</v>
      </c>
      <c r="L99" s="26">
        <f>'5.15. Vagyon'!L10</f>
        <v>10000000</v>
      </c>
      <c r="M99" s="17">
        <f t="shared" si="38"/>
        <v>2224370274</v>
      </c>
      <c r="N99" s="14">
        <f>'5.15. Vagyon'!N10</f>
        <v>0</v>
      </c>
      <c r="O99" s="15">
        <f>'5.15. Vagyon'!O10</f>
        <v>0</v>
      </c>
      <c r="P99" s="15">
        <f>'5.15. Vagyon'!P10</f>
        <v>552479468</v>
      </c>
      <c r="Q99" s="15">
        <f>'5.15. Vagyon'!Q10</f>
        <v>0</v>
      </c>
      <c r="R99" s="15">
        <f>'5.15. Vagyon'!R10</f>
        <v>0</v>
      </c>
      <c r="S99" s="15">
        <f>'5.15. Vagyon'!S10</f>
        <v>1636535368</v>
      </c>
      <c r="T99" s="15">
        <f>'5.15. Vagyon'!T10</f>
        <v>22855438</v>
      </c>
      <c r="U99" s="26">
        <f>'5.15. Vagyon'!U10</f>
        <v>12500000</v>
      </c>
    </row>
    <row r="100" spans="1:21" s="7" customFormat="1" ht="20.25" customHeight="1">
      <c r="A100" s="180"/>
      <c r="B100" s="11" t="s">
        <v>146</v>
      </c>
      <c r="C100" s="12" t="s">
        <v>36</v>
      </c>
      <c r="D100" s="17">
        <f t="shared" si="36"/>
        <v>0</v>
      </c>
      <c r="E100" s="18">
        <f>'5.15. Vagyon'!E31</f>
        <v>0</v>
      </c>
      <c r="F100" s="19">
        <f>'5.15. Vagyon'!F31</f>
        <v>0</v>
      </c>
      <c r="G100" s="19">
        <f>'5.15. Vagyon'!G31</f>
        <v>0</v>
      </c>
      <c r="H100" s="19">
        <f>'5.15. Vagyon'!H31</f>
        <v>0</v>
      </c>
      <c r="I100" s="19">
        <f>'5.15. Vagyon'!I31</f>
        <v>0</v>
      </c>
      <c r="J100" s="19">
        <f>'5.15. Vagyon'!J31</f>
        <v>0</v>
      </c>
      <c r="K100" s="19">
        <f>'5.15. Vagyon'!K31</f>
        <v>0</v>
      </c>
      <c r="L100" s="27">
        <f>'5.15. Vagyon'!L31</f>
        <v>0</v>
      </c>
      <c r="M100" s="17">
        <f t="shared" si="38"/>
        <v>0</v>
      </c>
      <c r="N100" s="18">
        <f>'5.15. Vagyon'!N31</f>
        <v>0</v>
      </c>
      <c r="O100" s="19">
        <f>'5.15. Vagyon'!O31</f>
        <v>0</v>
      </c>
      <c r="P100" s="19">
        <f>'5.15. Vagyon'!P31</f>
        <v>0</v>
      </c>
      <c r="Q100" s="19">
        <f>'5.15. Vagyon'!Q31</f>
        <v>0</v>
      </c>
      <c r="R100" s="19">
        <f>'5.15. Vagyon'!R31</f>
        <v>0</v>
      </c>
      <c r="S100" s="19">
        <f>'5.15. Vagyon'!S31</f>
        <v>0</v>
      </c>
      <c r="T100" s="19">
        <f>'5.15. Vagyon'!T31</f>
        <v>0</v>
      </c>
      <c r="U100" s="27">
        <f>'5.15. Vagyon'!U31</f>
        <v>0</v>
      </c>
    </row>
    <row r="101" spans="1:21" s="7" customFormat="1" ht="20.25" customHeight="1">
      <c r="A101" s="180"/>
      <c r="B101" s="11" t="s">
        <v>147</v>
      </c>
      <c r="C101" s="21" t="s">
        <v>38</v>
      </c>
      <c r="D101" s="17">
        <f t="shared" si="36"/>
        <v>0</v>
      </c>
      <c r="E101" s="22">
        <f>'5.15. Vagyon'!E32</f>
        <v>0</v>
      </c>
      <c r="F101" s="23">
        <f>'5.15. Vagyon'!F32</f>
        <v>0</v>
      </c>
      <c r="G101" s="23">
        <f>'5.15. Vagyon'!G32</f>
        <v>0</v>
      </c>
      <c r="H101" s="23">
        <f>'5.15. Vagyon'!H32</f>
        <v>0</v>
      </c>
      <c r="I101" s="23">
        <f>'5.15. Vagyon'!I32</f>
        <v>0</v>
      </c>
      <c r="J101" s="23">
        <f>'5.15. Vagyon'!J32</f>
        <v>0</v>
      </c>
      <c r="K101" s="23">
        <f>'5.15. Vagyon'!K32</f>
        <v>0</v>
      </c>
      <c r="L101" s="28">
        <f>'5.15. Vagyon'!L32</f>
        <v>0</v>
      </c>
      <c r="M101" s="17">
        <f t="shared" si="38"/>
        <v>0</v>
      </c>
      <c r="N101" s="22">
        <f>'5.15. Vagyon'!N32</f>
        <v>0</v>
      </c>
      <c r="O101" s="23">
        <f>'5.15. Vagyon'!O32</f>
        <v>0</v>
      </c>
      <c r="P101" s="23">
        <f>'5.15. Vagyon'!P32</f>
        <v>0</v>
      </c>
      <c r="Q101" s="23">
        <f>'5.15. Vagyon'!Q32</f>
        <v>0</v>
      </c>
      <c r="R101" s="23">
        <f>'5.15. Vagyon'!R32</f>
        <v>0</v>
      </c>
      <c r="S101" s="23">
        <f>'5.15. Vagyon'!S32</f>
        <v>0</v>
      </c>
      <c r="T101" s="23">
        <f>'5.15. Vagyon'!T32</f>
        <v>0</v>
      </c>
      <c r="U101" s="28">
        <f>'5.15. Vagyon'!U32</f>
        <v>0</v>
      </c>
    </row>
    <row r="102" spans="1:21" s="7" customFormat="1" ht="39" customHeight="1">
      <c r="A102" s="9" t="s">
        <v>148</v>
      </c>
      <c r="B102" s="179" t="s">
        <v>149</v>
      </c>
      <c r="C102" s="179"/>
      <c r="D102" s="10">
        <f t="shared" si="36"/>
        <v>11000000</v>
      </c>
      <c r="E102" s="10">
        <f aca="true" t="shared" si="52" ref="E102:L102">SUM(E103:E105)</f>
        <v>0</v>
      </c>
      <c r="F102" s="10">
        <f t="shared" si="52"/>
        <v>0</v>
      </c>
      <c r="G102" s="10">
        <f t="shared" si="52"/>
        <v>0</v>
      </c>
      <c r="H102" s="10">
        <f t="shared" si="52"/>
        <v>0</v>
      </c>
      <c r="I102" s="10">
        <f t="shared" si="52"/>
        <v>11000000</v>
      </c>
      <c r="J102" s="10">
        <f t="shared" si="52"/>
        <v>0</v>
      </c>
      <c r="K102" s="10">
        <f t="shared" si="52"/>
        <v>0</v>
      </c>
      <c r="L102" s="10">
        <f t="shared" si="52"/>
        <v>0</v>
      </c>
      <c r="M102" s="10">
        <f t="shared" si="38"/>
        <v>11000000</v>
      </c>
      <c r="N102" s="10">
        <f aca="true" t="shared" si="53" ref="N102:U102">SUM(N103:N105)</f>
        <v>0</v>
      </c>
      <c r="O102" s="10">
        <f t="shared" si="53"/>
        <v>0</v>
      </c>
      <c r="P102" s="10">
        <f t="shared" si="53"/>
        <v>0</v>
      </c>
      <c r="Q102" s="10">
        <f t="shared" si="53"/>
        <v>0</v>
      </c>
      <c r="R102" s="10">
        <f t="shared" si="53"/>
        <v>11000000</v>
      </c>
      <c r="S102" s="10">
        <f t="shared" si="53"/>
        <v>0</v>
      </c>
      <c r="T102" s="10">
        <f t="shared" si="53"/>
        <v>0</v>
      </c>
      <c r="U102" s="10">
        <f t="shared" si="53"/>
        <v>0</v>
      </c>
    </row>
    <row r="103" spans="1:21" s="7" customFormat="1" ht="20.25" customHeight="1">
      <c r="A103" s="183"/>
      <c r="B103" s="11" t="s">
        <v>150</v>
      </c>
      <c r="C103" s="12" t="s">
        <v>34</v>
      </c>
      <c r="D103" s="17">
        <f t="shared" si="36"/>
        <v>0</v>
      </c>
      <c r="E103" s="14">
        <f>'5.16. Nemzetiség'!E10</f>
        <v>0</v>
      </c>
      <c r="F103" s="15">
        <f>'5.16. Nemzetiség'!F10</f>
        <v>0</v>
      </c>
      <c r="G103" s="15">
        <f>'5.16. Nemzetiség'!G10</f>
        <v>0</v>
      </c>
      <c r="H103" s="15">
        <f>'5.16. Nemzetiség'!H10</f>
        <v>0</v>
      </c>
      <c r="I103" s="15">
        <f>'5.16. Nemzetiség'!I10</f>
        <v>0</v>
      </c>
      <c r="J103" s="15">
        <f>'5.16. Nemzetiség'!J10</f>
        <v>0</v>
      </c>
      <c r="K103" s="15">
        <f>'5.16. Nemzetiség'!K10</f>
        <v>0</v>
      </c>
      <c r="L103" s="26">
        <f>'5.16. Nemzetiség'!L10</f>
        <v>0</v>
      </c>
      <c r="M103" s="17">
        <f t="shared" si="38"/>
        <v>0</v>
      </c>
      <c r="N103" s="14">
        <f>'5.16. Nemzetiség'!N10</f>
        <v>0</v>
      </c>
      <c r="O103" s="15">
        <f>'5.16. Nemzetiség'!O10</f>
        <v>0</v>
      </c>
      <c r="P103" s="15">
        <f>'5.16. Nemzetiség'!P10</f>
        <v>0</v>
      </c>
      <c r="Q103" s="15">
        <f>'5.16. Nemzetiség'!Q10</f>
        <v>0</v>
      </c>
      <c r="R103" s="15">
        <f>'5.16. Nemzetiség'!R10</f>
        <v>0</v>
      </c>
      <c r="S103" s="15">
        <f>'5.16. Nemzetiség'!S10</f>
        <v>0</v>
      </c>
      <c r="T103" s="15">
        <f>'5.16. Nemzetiség'!T10</f>
        <v>0</v>
      </c>
      <c r="U103" s="26">
        <f>'5.16. Nemzetiség'!U10</f>
        <v>0</v>
      </c>
    </row>
    <row r="104" spans="1:21" s="7" customFormat="1" ht="20.25" customHeight="1">
      <c r="A104" s="183"/>
      <c r="B104" s="11" t="s">
        <v>151</v>
      </c>
      <c r="C104" s="12" t="s">
        <v>36</v>
      </c>
      <c r="D104" s="17">
        <f t="shared" si="36"/>
        <v>11000000</v>
      </c>
      <c r="E104" s="18">
        <f>'5.16. Nemzetiség'!E11</f>
        <v>0</v>
      </c>
      <c r="F104" s="19">
        <f>'5.16. Nemzetiség'!F11</f>
        <v>0</v>
      </c>
      <c r="G104" s="19">
        <f>'5.16. Nemzetiség'!G11</f>
        <v>0</v>
      </c>
      <c r="H104" s="19">
        <f>'5.16. Nemzetiség'!H11</f>
        <v>0</v>
      </c>
      <c r="I104" s="19">
        <f>'5.16. Nemzetiség'!I11</f>
        <v>11000000</v>
      </c>
      <c r="J104" s="19">
        <f>'5.16. Nemzetiség'!J11</f>
        <v>0</v>
      </c>
      <c r="K104" s="19">
        <f>'5.16. Nemzetiség'!K11</f>
        <v>0</v>
      </c>
      <c r="L104" s="27">
        <f>'5.16. Nemzetiség'!L11</f>
        <v>0</v>
      </c>
      <c r="M104" s="17">
        <f t="shared" si="38"/>
        <v>11000000</v>
      </c>
      <c r="N104" s="18">
        <f>'5.16. Nemzetiség'!N11</f>
        <v>0</v>
      </c>
      <c r="O104" s="19">
        <f>'5.16. Nemzetiség'!O11</f>
        <v>0</v>
      </c>
      <c r="P104" s="19">
        <f>'5.16. Nemzetiség'!P11</f>
        <v>0</v>
      </c>
      <c r="Q104" s="19">
        <f>'5.16. Nemzetiség'!Q11</f>
        <v>0</v>
      </c>
      <c r="R104" s="19">
        <f>'5.16. Nemzetiség'!R11</f>
        <v>11000000</v>
      </c>
      <c r="S104" s="19">
        <f>'5.16. Nemzetiség'!S11</f>
        <v>0</v>
      </c>
      <c r="T104" s="19">
        <f>'5.16. Nemzetiség'!T11</f>
        <v>0</v>
      </c>
      <c r="U104" s="27">
        <f>'5.16. Nemzetiség'!U11</f>
        <v>0</v>
      </c>
    </row>
    <row r="105" spans="1:21" s="7" customFormat="1" ht="20.25" customHeight="1">
      <c r="A105" s="183"/>
      <c r="B105" s="11" t="s">
        <v>152</v>
      </c>
      <c r="C105" s="21" t="s">
        <v>38</v>
      </c>
      <c r="D105" s="17">
        <f t="shared" si="36"/>
        <v>0</v>
      </c>
      <c r="E105" s="22">
        <f>'5.16. Nemzetiség'!E19</f>
        <v>0</v>
      </c>
      <c r="F105" s="23">
        <f>'5.16. Nemzetiség'!F19</f>
        <v>0</v>
      </c>
      <c r="G105" s="23">
        <f>'5.16. Nemzetiség'!G19</f>
        <v>0</v>
      </c>
      <c r="H105" s="23">
        <f>'5.16. Nemzetiség'!H19</f>
        <v>0</v>
      </c>
      <c r="I105" s="23">
        <f>'5.16. Nemzetiség'!I19</f>
        <v>0</v>
      </c>
      <c r="J105" s="23">
        <f>'5.16. Nemzetiség'!J19</f>
        <v>0</v>
      </c>
      <c r="K105" s="23">
        <f>'5.16. Nemzetiség'!K19</f>
        <v>0</v>
      </c>
      <c r="L105" s="28">
        <f>'5.16. Nemzetiség'!L19</f>
        <v>0</v>
      </c>
      <c r="M105" s="17">
        <f t="shared" si="38"/>
        <v>0</v>
      </c>
      <c r="N105" s="22">
        <f>'5.16. Nemzetiség'!N19</f>
        <v>0</v>
      </c>
      <c r="O105" s="23">
        <f>'5.16. Nemzetiség'!O19</f>
        <v>0</v>
      </c>
      <c r="P105" s="23">
        <f>'5.16. Nemzetiség'!P19</f>
        <v>0</v>
      </c>
      <c r="Q105" s="23">
        <f>'5.16. Nemzetiség'!Q19</f>
        <v>0</v>
      </c>
      <c r="R105" s="23">
        <f>'5.16. Nemzetiség'!R19</f>
        <v>0</v>
      </c>
      <c r="S105" s="23">
        <f>'5.16. Nemzetiség'!S19</f>
        <v>0</v>
      </c>
      <c r="T105" s="23">
        <f>'5.16. Nemzetiség'!T19</f>
        <v>0</v>
      </c>
      <c r="U105" s="28">
        <f>'5.16. Nemzetiség'!U19</f>
        <v>0</v>
      </c>
    </row>
    <row r="106" spans="1:21" s="7" customFormat="1" ht="20.25" customHeight="1">
      <c r="A106" s="9" t="s">
        <v>153</v>
      </c>
      <c r="B106" s="179" t="s">
        <v>154</v>
      </c>
      <c r="C106" s="179"/>
      <c r="D106" s="10">
        <f aca="true" t="shared" si="54" ref="D106:D117">SUM(E106:L106)</f>
        <v>10000000</v>
      </c>
      <c r="E106" s="10">
        <f aca="true" t="shared" si="55" ref="E106:L106">SUM(E107:E109)</f>
        <v>0</v>
      </c>
      <c r="F106" s="10">
        <f t="shared" si="55"/>
        <v>0</v>
      </c>
      <c r="G106" s="10">
        <f t="shared" si="55"/>
        <v>0</v>
      </c>
      <c r="H106" s="10">
        <f t="shared" si="55"/>
        <v>0</v>
      </c>
      <c r="I106" s="10">
        <f t="shared" si="55"/>
        <v>10000000</v>
      </c>
      <c r="J106" s="10">
        <f t="shared" si="55"/>
        <v>0</v>
      </c>
      <c r="K106" s="10">
        <f t="shared" si="55"/>
        <v>0</v>
      </c>
      <c r="L106" s="10">
        <f t="shared" si="55"/>
        <v>0</v>
      </c>
      <c r="M106" s="10">
        <f aca="true" t="shared" si="56" ref="M106:M117">SUM(N106:U106)</f>
        <v>224671835</v>
      </c>
      <c r="N106" s="10">
        <f aca="true" t="shared" si="57" ref="N106:U106">SUM(N107:N109)</f>
        <v>0</v>
      </c>
      <c r="O106" s="10">
        <f t="shared" si="57"/>
        <v>0</v>
      </c>
      <c r="P106" s="10">
        <f t="shared" si="57"/>
        <v>0</v>
      </c>
      <c r="Q106" s="10">
        <f t="shared" si="57"/>
        <v>0</v>
      </c>
      <c r="R106" s="10">
        <f t="shared" si="57"/>
        <v>224671835</v>
      </c>
      <c r="S106" s="10">
        <f t="shared" si="57"/>
        <v>0</v>
      </c>
      <c r="T106" s="10">
        <f t="shared" si="57"/>
        <v>0</v>
      </c>
      <c r="U106" s="10">
        <f t="shared" si="57"/>
        <v>0</v>
      </c>
    </row>
    <row r="107" spans="1:21" s="7" customFormat="1" ht="20.25" customHeight="1">
      <c r="A107" s="180"/>
      <c r="B107" s="11" t="s">
        <v>155</v>
      </c>
      <c r="C107" s="12" t="s">
        <v>34</v>
      </c>
      <c r="D107" s="17">
        <f t="shared" si="54"/>
        <v>10000000</v>
      </c>
      <c r="E107" s="14">
        <v>0</v>
      </c>
      <c r="F107" s="15">
        <v>0</v>
      </c>
      <c r="G107" s="15">
        <v>0</v>
      </c>
      <c r="H107" s="15">
        <v>0</v>
      </c>
      <c r="I107" s="15">
        <v>10000000</v>
      </c>
      <c r="J107" s="15">
        <v>0</v>
      </c>
      <c r="K107" s="15">
        <v>0</v>
      </c>
      <c r="L107" s="16">
        <v>0</v>
      </c>
      <c r="M107" s="17">
        <f t="shared" si="56"/>
        <v>224671835</v>
      </c>
      <c r="N107" s="14">
        <v>0</v>
      </c>
      <c r="O107" s="15">
        <v>0</v>
      </c>
      <c r="P107" s="15">
        <v>0</v>
      </c>
      <c r="Q107" s="15">
        <v>0</v>
      </c>
      <c r="R107" s="15">
        <v>224671835</v>
      </c>
      <c r="S107" s="15">
        <v>0</v>
      </c>
      <c r="T107" s="15">
        <v>0</v>
      </c>
      <c r="U107" s="16">
        <v>0</v>
      </c>
    </row>
    <row r="108" spans="1:21" s="7" customFormat="1" ht="20.25" customHeight="1">
      <c r="A108" s="180"/>
      <c r="B108" s="11" t="s">
        <v>156</v>
      </c>
      <c r="C108" s="12" t="s">
        <v>36</v>
      </c>
      <c r="D108" s="17">
        <f t="shared" si="54"/>
        <v>0</v>
      </c>
      <c r="E108" s="18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0">
        <v>0</v>
      </c>
      <c r="M108" s="17">
        <f t="shared" si="56"/>
        <v>0</v>
      </c>
      <c r="N108" s="18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20">
        <v>0</v>
      </c>
    </row>
    <row r="109" spans="1:21" s="7" customFormat="1" ht="20.25" customHeight="1">
      <c r="A109" s="180"/>
      <c r="B109" s="11" t="s">
        <v>157</v>
      </c>
      <c r="C109" s="21" t="s">
        <v>38</v>
      </c>
      <c r="D109" s="17">
        <f t="shared" si="54"/>
        <v>0</v>
      </c>
      <c r="E109" s="22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4">
        <v>0</v>
      </c>
      <c r="M109" s="17">
        <f t="shared" si="56"/>
        <v>0</v>
      </c>
      <c r="N109" s="22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4">
        <v>0</v>
      </c>
    </row>
    <row r="110" spans="1:21" s="7" customFormat="1" ht="20.25" customHeight="1">
      <c r="A110" s="9" t="s">
        <v>158</v>
      </c>
      <c r="B110" s="179" t="s">
        <v>159</v>
      </c>
      <c r="C110" s="179"/>
      <c r="D110" s="10">
        <f t="shared" si="54"/>
        <v>585322062</v>
      </c>
      <c r="E110" s="10">
        <f aca="true" t="shared" si="58" ref="E110:L110">SUM(E111:E113)</f>
        <v>0</v>
      </c>
      <c r="F110" s="10">
        <f t="shared" si="58"/>
        <v>0</v>
      </c>
      <c r="G110" s="10">
        <f t="shared" si="58"/>
        <v>0</v>
      </c>
      <c r="H110" s="10">
        <f t="shared" si="58"/>
        <v>0</v>
      </c>
      <c r="I110" s="10">
        <f t="shared" si="58"/>
        <v>585322062</v>
      </c>
      <c r="J110" s="10">
        <f t="shared" si="58"/>
        <v>0</v>
      </c>
      <c r="K110" s="10">
        <f t="shared" si="58"/>
        <v>0</v>
      </c>
      <c r="L110" s="10">
        <f t="shared" si="58"/>
        <v>0</v>
      </c>
      <c r="M110" s="10">
        <f t="shared" si="56"/>
        <v>700292709</v>
      </c>
      <c r="N110" s="10">
        <f aca="true" t="shared" si="59" ref="N110:U110">SUM(N111:N113)</f>
        <v>0</v>
      </c>
      <c r="O110" s="10">
        <f t="shared" si="59"/>
        <v>0</v>
      </c>
      <c r="P110" s="10">
        <f t="shared" si="59"/>
        <v>0</v>
      </c>
      <c r="Q110" s="10">
        <f t="shared" si="59"/>
        <v>0</v>
      </c>
      <c r="R110" s="10">
        <f t="shared" si="59"/>
        <v>700292709</v>
      </c>
      <c r="S110" s="10">
        <f t="shared" si="59"/>
        <v>0</v>
      </c>
      <c r="T110" s="10">
        <f t="shared" si="59"/>
        <v>0</v>
      </c>
      <c r="U110" s="10">
        <f t="shared" si="59"/>
        <v>0</v>
      </c>
    </row>
    <row r="111" spans="1:21" s="7" customFormat="1" ht="20.25" customHeight="1">
      <c r="A111" s="180"/>
      <c r="B111" s="11" t="s">
        <v>160</v>
      </c>
      <c r="C111" s="12" t="s">
        <v>34</v>
      </c>
      <c r="D111" s="17">
        <f t="shared" si="54"/>
        <v>585322062</v>
      </c>
      <c r="E111" s="14">
        <f>'5.17. Céltartalék'!E10</f>
        <v>0</v>
      </c>
      <c r="F111" s="15">
        <f>'5.17. Céltartalék'!F10</f>
        <v>0</v>
      </c>
      <c r="G111" s="15">
        <f>'5.17. Céltartalék'!G10</f>
        <v>0</v>
      </c>
      <c r="H111" s="15">
        <f>'5.17. Céltartalék'!H10</f>
        <v>0</v>
      </c>
      <c r="I111" s="15">
        <f>'5.17. Céltartalék'!I10</f>
        <v>585322062</v>
      </c>
      <c r="J111" s="15">
        <f>'5.17. Céltartalék'!J10</f>
        <v>0</v>
      </c>
      <c r="K111" s="15">
        <f>'5.17. Céltartalék'!K10</f>
        <v>0</v>
      </c>
      <c r="L111" s="26">
        <f>'5.17. Céltartalék'!L10</f>
        <v>0</v>
      </c>
      <c r="M111" s="17">
        <f t="shared" si="56"/>
        <v>700292709</v>
      </c>
      <c r="N111" s="14">
        <f>'5.17. Céltartalék'!N10</f>
        <v>0</v>
      </c>
      <c r="O111" s="15">
        <f>'5.17. Céltartalék'!O10</f>
        <v>0</v>
      </c>
      <c r="P111" s="15">
        <f>'5.17. Céltartalék'!P10</f>
        <v>0</v>
      </c>
      <c r="Q111" s="15">
        <f>'5.17. Céltartalék'!Q10</f>
        <v>0</v>
      </c>
      <c r="R111" s="15">
        <f>'5.17. Céltartalék'!R10</f>
        <v>700292709</v>
      </c>
      <c r="S111" s="15">
        <f>'5.17. Céltartalék'!S10</f>
        <v>0</v>
      </c>
      <c r="T111" s="15">
        <f>'5.17. Céltartalék'!T10</f>
        <v>0</v>
      </c>
      <c r="U111" s="26">
        <f>'5.17. Céltartalék'!U10</f>
        <v>0</v>
      </c>
    </row>
    <row r="112" spans="1:21" s="7" customFormat="1" ht="20.25" customHeight="1">
      <c r="A112" s="180"/>
      <c r="B112" s="11" t="s">
        <v>161</v>
      </c>
      <c r="C112" s="12" t="s">
        <v>36</v>
      </c>
      <c r="D112" s="17">
        <f t="shared" si="54"/>
        <v>0</v>
      </c>
      <c r="E112" s="18">
        <f>'5.17. Céltartalék'!E36</f>
        <v>0</v>
      </c>
      <c r="F112" s="19">
        <f>'5.17. Céltartalék'!F36</f>
        <v>0</v>
      </c>
      <c r="G112" s="19">
        <f>'5.17. Céltartalék'!G36</f>
        <v>0</v>
      </c>
      <c r="H112" s="19">
        <f>'5.17. Céltartalék'!H36</f>
        <v>0</v>
      </c>
      <c r="I112" s="19">
        <f>'5.17. Céltartalék'!I36</f>
        <v>0</v>
      </c>
      <c r="J112" s="19">
        <f>'5.17. Céltartalék'!J36</f>
        <v>0</v>
      </c>
      <c r="K112" s="19">
        <f>'5.17. Céltartalék'!K36</f>
        <v>0</v>
      </c>
      <c r="L112" s="27">
        <f>'5.17. Céltartalék'!L36</f>
        <v>0</v>
      </c>
      <c r="M112" s="17">
        <f t="shared" si="56"/>
        <v>0</v>
      </c>
      <c r="N112" s="18">
        <f>'5.17. Céltartalék'!N36</f>
        <v>0</v>
      </c>
      <c r="O112" s="19">
        <f>'5.17. Céltartalék'!O36</f>
        <v>0</v>
      </c>
      <c r="P112" s="19">
        <f>'5.17. Céltartalék'!P36</f>
        <v>0</v>
      </c>
      <c r="Q112" s="19">
        <f>'5.17. Céltartalék'!Q36</f>
        <v>0</v>
      </c>
      <c r="R112" s="19">
        <f>'5.17. Céltartalék'!R36</f>
        <v>0</v>
      </c>
      <c r="S112" s="19">
        <f>'5.17. Céltartalék'!S36</f>
        <v>0</v>
      </c>
      <c r="T112" s="19">
        <f>'5.17. Céltartalék'!T36</f>
        <v>0</v>
      </c>
      <c r="U112" s="27">
        <f>'5.17. Céltartalék'!U36</f>
        <v>0</v>
      </c>
    </row>
    <row r="113" spans="1:21" s="7" customFormat="1" ht="20.25" customHeight="1">
      <c r="A113" s="180"/>
      <c r="B113" s="11" t="s">
        <v>162</v>
      </c>
      <c r="C113" s="21" t="s">
        <v>38</v>
      </c>
      <c r="D113" s="17">
        <f t="shared" si="54"/>
        <v>0</v>
      </c>
      <c r="E113" s="22">
        <f>'5.17. Céltartalék'!E37</f>
        <v>0</v>
      </c>
      <c r="F113" s="23">
        <f>'5.17. Céltartalék'!F37</f>
        <v>0</v>
      </c>
      <c r="G113" s="23">
        <f>'5.17. Céltartalék'!G37</f>
        <v>0</v>
      </c>
      <c r="H113" s="23">
        <f>'5.17. Céltartalék'!H37</f>
        <v>0</v>
      </c>
      <c r="I113" s="23">
        <f>'5.17. Céltartalék'!I37</f>
        <v>0</v>
      </c>
      <c r="J113" s="23">
        <f>'5.17. Céltartalék'!J37</f>
        <v>0</v>
      </c>
      <c r="K113" s="23">
        <f>'5.17. Céltartalék'!K37</f>
        <v>0</v>
      </c>
      <c r="L113" s="28">
        <f>'5.17. Céltartalék'!L37</f>
        <v>0</v>
      </c>
      <c r="M113" s="17">
        <f t="shared" si="56"/>
        <v>0</v>
      </c>
      <c r="N113" s="22">
        <f>'5.17. Céltartalék'!N37</f>
        <v>0</v>
      </c>
      <c r="O113" s="23">
        <f>'5.17. Céltartalék'!O37</f>
        <v>0</v>
      </c>
      <c r="P113" s="23">
        <f>'5.17. Céltartalék'!P37</f>
        <v>0</v>
      </c>
      <c r="Q113" s="23">
        <f>'5.17. Céltartalék'!Q37</f>
        <v>0</v>
      </c>
      <c r="R113" s="23">
        <f>'5.17. Céltartalék'!R37</f>
        <v>0</v>
      </c>
      <c r="S113" s="23">
        <f>'5.17. Céltartalék'!S37</f>
        <v>0</v>
      </c>
      <c r="T113" s="23">
        <f>'5.17. Céltartalék'!T37</f>
        <v>0</v>
      </c>
      <c r="U113" s="28">
        <f>'5.17. Céltartalék'!U37</f>
        <v>0</v>
      </c>
    </row>
    <row r="114" spans="1:21" ht="18" customHeight="1">
      <c r="A114" s="181" t="s">
        <v>163</v>
      </c>
      <c r="B114" s="181"/>
      <c r="C114" s="181"/>
      <c r="D114" s="10">
        <f t="shared" si="54"/>
        <v>16956606244</v>
      </c>
      <c r="E114" s="10">
        <f aca="true" t="shared" si="60" ref="E114:L114">SUM(E115:E117)</f>
        <v>148356800</v>
      </c>
      <c r="F114" s="10">
        <f t="shared" si="60"/>
        <v>46744746</v>
      </c>
      <c r="G114" s="10">
        <f t="shared" si="60"/>
        <v>4136663931</v>
      </c>
      <c r="H114" s="10">
        <f t="shared" si="60"/>
        <v>430102000</v>
      </c>
      <c r="I114" s="10">
        <f t="shared" si="60"/>
        <v>5991066062</v>
      </c>
      <c r="J114" s="10">
        <f t="shared" si="60"/>
        <v>5405928000</v>
      </c>
      <c r="K114" s="10">
        <f t="shared" si="60"/>
        <v>329604268</v>
      </c>
      <c r="L114" s="10">
        <f t="shared" si="60"/>
        <v>468140437</v>
      </c>
      <c r="M114" s="10">
        <f t="shared" si="56"/>
        <v>20085601536</v>
      </c>
      <c r="N114" s="10">
        <f aca="true" t="shared" si="61" ref="N114:U114">SUM(N115:N117)</f>
        <v>204722680</v>
      </c>
      <c r="O114" s="10">
        <f t="shared" si="61"/>
        <v>67913376</v>
      </c>
      <c r="P114" s="10">
        <f t="shared" si="61"/>
        <v>4751081987</v>
      </c>
      <c r="Q114" s="10">
        <f t="shared" si="61"/>
        <v>449163609</v>
      </c>
      <c r="R114" s="10">
        <f t="shared" si="61"/>
        <v>6777548567</v>
      </c>
      <c r="S114" s="10">
        <f t="shared" si="61"/>
        <v>6377174189</v>
      </c>
      <c r="T114" s="10">
        <f t="shared" si="61"/>
        <v>564598636</v>
      </c>
      <c r="U114" s="10">
        <f t="shared" si="61"/>
        <v>893398492</v>
      </c>
    </row>
    <row r="115" spans="1:21" ht="18" customHeight="1">
      <c r="A115" s="182" t="s">
        <v>164</v>
      </c>
      <c r="B115" s="182"/>
      <c r="C115" s="182"/>
      <c r="D115" s="17">
        <f t="shared" si="54"/>
        <v>11448061057</v>
      </c>
      <c r="E115" s="30">
        <f aca="true" t="shared" si="62" ref="E115:L117">E11+E15+E19+E23+E27+E31+E35+E39+E43+E47+E51+E55+E59+E63+E67+E71+E75+E79+E83+E87+E91+E95+E99+E103+E107+E111</f>
        <v>127236800</v>
      </c>
      <c r="F115" s="30">
        <f t="shared" si="62"/>
        <v>36184746</v>
      </c>
      <c r="G115" s="30">
        <f t="shared" si="62"/>
        <v>3560574181</v>
      </c>
      <c r="H115" s="30">
        <f t="shared" si="62"/>
        <v>163862000</v>
      </c>
      <c r="I115" s="30">
        <f t="shared" si="62"/>
        <v>5673466062</v>
      </c>
      <c r="J115" s="30">
        <f t="shared" si="62"/>
        <v>1592950000</v>
      </c>
      <c r="K115" s="30">
        <f t="shared" si="62"/>
        <v>49779268</v>
      </c>
      <c r="L115" s="30">
        <f t="shared" si="62"/>
        <v>244008000</v>
      </c>
      <c r="M115" s="17">
        <f t="shared" si="56"/>
        <v>13307828662</v>
      </c>
      <c r="N115" s="30">
        <f aca="true" t="shared" si="63" ref="N115:U117">N11+N15+N19+N23+N27+N31+N35+N39+N43+N47+N51+N55+N59+N63+N67+N71+N75+N79+N83+N87+N91+N95+N99+N103+N107+N111</f>
        <v>172592006</v>
      </c>
      <c r="O115" s="30">
        <f t="shared" si="63"/>
        <v>53394795</v>
      </c>
      <c r="P115" s="30">
        <f t="shared" si="63"/>
        <v>4094929131</v>
      </c>
      <c r="Q115" s="30">
        <f t="shared" si="63"/>
        <v>183440218</v>
      </c>
      <c r="R115" s="30">
        <f t="shared" si="63"/>
        <v>6201561897</v>
      </c>
      <c r="S115" s="30">
        <f t="shared" si="63"/>
        <v>1688816937</v>
      </c>
      <c r="T115" s="30">
        <f t="shared" si="63"/>
        <v>235985678</v>
      </c>
      <c r="U115" s="30">
        <f t="shared" si="63"/>
        <v>677108000</v>
      </c>
    </row>
    <row r="116" spans="1:21" ht="18" customHeight="1">
      <c r="A116" s="182" t="s">
        <v>165</v>
      </c>
      <c r="B116" s="182"/>
      <c r="C116" s="182"/>
      <c r="D116" s="17">
        <f t="shared" si="54"/>
        <v>5453545187</v>
      </c>
      <c r="E116" s="30">
        <f t="shared" si="62"/>
        <v>21120000</v>
      </c>
      <c r="F116" s="30">
        <f t="shared" si="62"/>
        <v>10560000</v>
      </c>
      <c r="G116" s="30">
        <f t="shared" si="62"/>
        <v>576089750</v>
      </c>
      <c r="H116" s="30">
        <f t="shared" si="62"/>
        <v>266240000</v>
      </c>
      <c r="I116" s="30">
        <f t="shared" si="62"/>
        <v>262600000</v>
      </c>
      <c r="J116" s="30">
        <f t="shared" si="62"/>
        <v>3812978000</v>
      </c>
      <c r="K116" s="30">
        <f t="shared" si="62"/>
        <v>279825000</v>
      </c>
      <c r="L116" s="30">
        <f t="shared" si="62"/>
        <v>224132437</v>
      </c>
      <c r="M116" s="17">
        <f t="shared" si="56"/>
        <v>6722486204</v>
      </c>
      <c r="N116" s="30">
        <f t="shared" si="63"/>
        <v>32130674</v>
      </c>
      <c r="O116" s="30">
        <f t="shared" si="63"/>
        <v>14518581</v>
      </c>
      <c r="P116" s="30">
        <f t="shared" si="63"/>
        <v>656152856</v>
      </c>
      <c r="Q116" s="30">
        <f t="shared" si="63"/>
        <v>265723391</v>
      </c>
      <c r="R116" s="30">
        <f t="shared" si="63"/>
        <v>520700000</v>
      </c>
      <c r="S116" s="30">
        <f t="shared" si="63"/>
        <v>4688357252</v>
      </c>
      <c r="T116" s="30">
        <f t="shared" si="63"/>
        <v>328612958</v>
      </c>
      <c r="U116" s="30">
        <f t="shared" si="63"/>
        <v>216290492</v>
      </c>
    </row>
    <row r="117" spans="1:21" ht="18" customHeight="1">
      <c r="A117" s="182" t="s">
        <v>166</v>
      </c>
      <c r="B117" s="182"/>
      <c r="C117" s="182"/>
      <c r="D117" s="17">
        <f t="shared" si="54"/>
        <v>55000000</v>
      </c>
      <c r="E117" s="30">
        <f t="shared" si="62"/>
        <v>0</v>
      </c>
      <c r="F117" s="30">
        <f t="shared" si="62"/>
        <v>0</v>
      </c>
      <c r="G117" s="30">
        <f t="shared" si="62"/>
        <v>0</v>
      </c>
      <c r="H117" s="30">
        <f t="shared" si="62"/>
        <v>0</v>
      </c>
      <c r="I117" s="30">
        <f t="shared" si="62"/>
        <v>55000000</v>
      </c>
      <c r="J117" s="30">
        <f t="shared" si="62"/>
        <v>0</v>
      </c>
      <c r="K117" s="30">
        <f t="shared" si="62"/>
        <v>0</v>
      </c>
      <c r="L117" s="30">
        <f t="shared" si="62"/>
        <v>0</v>
      </c>
      <c r="M117" s="17">
        <f t="shared" si="56"/>
        <v>55286670</v>
      </c>
      <c r="N117" s="30">
        <f t="shared" si="63"/>
        <v>0</v>
      </c>
      <c r="O117" s="30">
        <f t="shared" si="63"/>
        <v>0</v>
      </c>
      <c r="P117" s="30">
        <f t="shared" si="63"/>
        <v>0</v>
      </c>
      <c r="Q117" s="30">
        <f t="shared" si="63"/>
        <v>0</v>
      </c>
      <c r="R117" s="30">
        <f t="shared" si="63"/>
        <v>55286670</v>
      </c>
      <c r="S117" s="30">
        <f t="shared" si="63"/>
        <v>0</v>
      </c>
      <c r="T117" s="30">
        <f t="shared" si="63"/>
        <v>0</v>
      </c>
      <c r="U117" s="30">
        <f t="shared" si="63"/>
        <v>0</v>
      </c>
    </row>
    <row r="118" ht="21" customHeight="1">
      <c r="D118" s="31">
        <f>SUM(D10:D113)/2</f>
        <v>16956606244</v>
      </c>
    </row>
    <row r="120" spans="3:13" s="32" customFormat="1" ht="20.25">
      <c r="C120" s="32" t="s">
        <v>167</v>
      </c>
      <c r="E120" s="32">
        <v>42207000</v>
      </c>
      <c r="F120" s="32">
        <v>11438000</v>
      </c>
      <c r="M120" s="32">
        <f>SUM(N120:U120)</f>
        <v>0</v>
      </c>
    </row>
    <row r="121" spans="3:21" s="32" customFormat="1" ht="20.25">
      <c r="C121" s="32" t="s">
        <v>168</v>
      </c>
      <c r="D121" s="32">
        <f>SUM(E121:L121)</f>
        <v>17020251244</v>
      </c>
      <c r="E121" s="32">
        <v>190563800</v>
      </c>
      <c r="F121" s="32">
        <v>58182746</v>
      </c>
      <c r="G121" s="32">
        <v>4136663931</v>
      </c>
      <c r="H121" s="32">
        <v>430102000</v>
      </c>
      <c r="I121" s="32">
        <v>5991066062</v>
      </c>
      <c r="J121" s="32">
        <v>5415928000</v>
      </c>
      <c r="K121" s="32">
        <v>329604268</v>
      </c>
      <c r="L121" s="32">
        <v>468140437</v>
      </c>
      <c r="M121" s="32">
        <f>SUM(N121:U121)</f>
        <v>20085601536</v>
      </c>
      <c r="N121" s="32">
        <v>204082680</v>
      </c>
      <c r="O121" s="32">
        <v>67847976</v>
      </c>
      <c r="P121" s="32">
        <v>4757787387</v>
      </c>
      <c r="Q121" s="32">
        <v>449163609</v>
      </c>
      <c r="R121" s="32">
        <v>6774548567</v>
      </c>
      <c r="S121" s="32">
        <v>6382674189</v>
      </c>
      <c r="T121" s="32">
        <v>556098636</v>
      </c>
      <c r="U121" s="32">
        <v>893398492</v>
      </c>
    </row>
    <row r="122" spans="2:21" ht="20.25">
      <c r="B122" s="1" t="s">
        <v>169</v>
      </c>
      <c r="C122" s="1" t="s">
        <v>167</v>
      </c>
      <c r="D122" s="32">
        <f>D114-D121</f>
        <v>-63645000</v>
      </c>
      <c r="E122" s="32">
        <f aca="true" t="shared" si="64" ref="E122:U122">E121-E120-E114</f>
        <v>0</v>
      </c>
      <c r="F122" s="32">
        <f t="shared" si="64"/>
        <v>0</v>
      </c>
      <c r="G122" s="32">
        <f t="shared" si="64"/>
        <v>0</v>
      </c>
      <c r="H122" s="32">
        <f t="shared" si="64"/>
        <v>0</v>
      </c>
      <c r="I122" s="32">
        <f t="shared" si="64"/>
        <v>0</v>
      </c>
      <c r="J122" s="32">
        <f t="shared" si="64"/>
        <v>10000000</v>
      </c>
      <c r="K122" s="32">
        <f t="shared" si="64"/>
        <v>0</v>
      </c>
      <c r="L122" s="32">
        <f t="shared" si="64"/>
        <v>0</v>
      </c>
      <c r="M122" s="32">
        <f t="shared" si="64"/>
        <v>0</v>
      </c>
      <c r="N122" s="32">
        <f t="shared" si="64"/>
        <v>-640000</v>
      </c>
      <c r="O122" s="32">
        <f t="shared" si="64"/>
        <v>-65400</v>
      </c>
      <c r="P122" s="32">
        <f t="shared" si="64"/>
        <v>6705400</v>
      </c>
      <c r="Q122" s="32">
        <f t="shared" si="64"/>
        <v>0</v>
      </c>
      <c r="R122" s="32">
        <f t="shared" si="64"/>
        <v>-3000000</v>
      </c>
      <c r="S122" s="32">
        <f t="shared" si="64"/>
        <v>5500000</v>
      </c>
      <c r="T122" s="32">
        <f t="shared" si="64"/>
        <v>-8500000</v>
      </c>
      <c r="U122" s="32">
        <f t="shared" si="64"/>
        <v>0</v>
      </c>
    </row>
  </sheetData>
  <sheetProtection selectLockedCells="1" selectUnlockedCells="1"/>
  <mergeCells count="70">
    <mergeCell ref="A1:U1"/>
    <mergeCell ref="A3:U3"/>
    <mergeCell ref="A7:A9"/>
    <mergeCell ref="B7:B9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94:C94"/>
    <mergeCell ref="A95:A97"/>
    <mergeCell ref="B74:C74"/>
    <mergeCell ref="A75:A77"/>
    <mergeCell ref="B78:C78"/>
    <mergeCell ref="A79:A81"/>
    <mergeCell ref="B82:C82"/>
    <mergeCell ref="A83:A85"/>
    <mergeCell ref="A117:C117"/>
    <mergeCell ref="B98:C98"/>
    <mergeCell ref="A99:A101"/>
    <mergeCell ref="B102:C102"/>
    <mergeCell ref="A103:A105"/>
    <mergeCell ref="B106:C106"/>
    <mergeCell ref="A107:A109"/>
    <mergeCell ref="A2:U2"/>
    <mergeCell ref="B110:C110"/>
    <mergeCell ref="A111:A113"/>
    <mergeCell ref="A114:C114"/>
    <mergeCell ref="A115:C115"/>
    <mergeCell ref="A116:C116"/>
    <mergeCell ref="B86:C86"/>
    <mergeCell ref="A87:A89"/>
    <mergeCell ref="B90:C90"/>
    <mergeCell ref="A91:A93"/>
  </mergeCells>
  <printOptions horizontalCentered="1" verticalCentered="1"/>
  <pageMargins left="0.2362204724409449" right="0.2362204724409449" top="0.5511811023622047" bottom="0.5511811023622047" header="0.5118110236220472" footer="0.5118110236220472"/>
  <pageSetup horizontalDpi="300" verticalDpi="300" orientation="landscape" paperSize="8" scale="28" r:id="rId1"/>
  <rowBreaks count="1" manualBreakCount="1">
    <brk id="61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2"/>
  <sheetViews>
    <sheetView view="pageBreakPreview" zoomScaleNormal="7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57421875" style="0" customWidth="1"/>
    <col min="5" max="6" width="14.57421875" style="0" customWidth="1"/>
    <col min="7" max="7" width="16.8515625" style="0" customWidth="1"/>
    <col min="8" max="8" width="14.57421875" style="0" customWidth="1"/>
    <col min="9" max="9" width="16.00390625" style="0" customWidth="1"/>
    <col min="10" max="12" width="14.57421875" style="0" customWidth="1"/>
    <col min="13" max="18" width="15.7109375" style="0" customWidth="1"/>
    <col min="19" max="21" width="14.8515625" style="0" customWidth="1"/>
  </cols>
  <sheetData>
    <row r="1" spans="1:21" ht="18">
      <c r="A1" s="230" t="s">
        <v>1138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638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639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9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5</v>
      </c>
      <c r="N6" s="128" t="s">
        <v>6</v>
      </c>
      <c r="O6" s="128" t="s">
        <v>7</v>
      </c>
      <c r="P6" s="128" t="s">
        <v>8</v>
      </c>
      <c r="Q6" s="128" t="s">
        <v>9</v>
      </c>
      <c r="R6" s="128" t="s">
        <v>10</v>
      </c>
      <c r="S6" s="128" t="s">
        <v>11</v>
      </c>
      <c r="T6" s="128" t="s">
        <v>12</v>
      </c>
      <c r="U6" s="128" t="s">
        <v>13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68.25" customHeight="1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75</v>
      </c>
      <c r="B10" s="114"/>
      <c r="C10" s="115" t="s">
        <v>34</v>
      </c>
      <c r="D10" s="129">
        <f aca="true" t="shared" si="0" ref="D10:D19">SUM(E10:L10)</f>
        <v>77137000</v>
      </c>
      <c r="E10" s="130">
        <f aca="true" t="shared" si="1" ref="E10:L10">SUM(E11:E16)</f>
        <v>0</v>
      </c>
      <c r="F10" s="130">
        <f t="shared" si="1"/>
        <v>0</v>
      </c>
      <c r="G10" s="130">
        <f t="shared" si="1"/>
        <v>20000000</v>
      </c>
      <c r="H10" s="130">
        <f t="shared" si="1"/>
        <v>637000</v>
      </c>
      <c r="I10" s="130">
        <f t="shared" si="1"/>
        <v>56500000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29">
        <f aca="true" t="shared" si="2" ref="M10:M19">SUM(N10:U10)</f>
        <v>78074000</v>
      </c>
      <c r="N10" s="130">
        <f aca="true" t="shared" si="3" ref="N10:U10">SUM(N11:N16)</f>
        <v>0</v>
      </c>
      <c r="O10" s="130">
        <f t="shared" si="3"/>
        <v>0</v>
      </c>
      <c r="P10" s="130">
        <f t="shared" si="3"/>
        <v>20000000</v>
      </c>
      <c r="Q10" s="130">
        <f t="shared" si="3"/>
        <v>1574000</v>
      </c>
      <c r="R10" s="130">
        <f t="shared" si="3"/>
        <v>56500000</v>
      </c>
      <c r="S10" s="130">
        <f t="shared" si="3"/>
        <v>0</v>
      </c>
      <c r="T10" s="130">
        <f t="shared" si="3"/>
        <v>0</v>
      </c>
      <c r="U10" s="130">
        <f t="shared" si="3"/>
        <v>0</v>
      </c>
    </row>
    <row r="11" spans="1:21" ht="30">
      <c r="A11" s="114"/>
      <c r="B11" s="114" t="s">
        <v>640</v>
      </c>
      <c r="C11" s="125" t="s">
        <v>641</v>
      </c>
      <c r="D11" s="148">
        <f t="shared" si="0"/>
        <v>637000</v>
      </c>
      <c r="E11" s="133">
        <v>0</v>
      </c>
      <c r="F11" s="133">
        <v>0</v>
      </c>
      <c r="G11" s="133">
        <v>0</v>
      </c>
      <c r="H11" s="133">
        <v>637000</v>
      </c>
      <c r="I11" s="133">
        <v>0</v>
      </c>
      <c r="J11" s="133">
        <v>0</v>
      </c>
      <c r="K11" s="133">
        <v>0</v>
      </c>
      <c r="L11" s="133">
        <v>0</v>
      </c>
      <c r="M11" s="148">
        <f t="shared" si="2"/>
        <v>1574000</v>
      </c>
      <c r="N11" s="133">
        <v>0</v>
      </c>
      <c r="O11" s="133">
        <v>0</v>
      </c>
      <c r="P11" s="133">
        <v>0</v>
      </c>
      <c r="Q11" s="133">
        <v>1574000</v>
      </c>
      <c r="R11" s="133">
        <v>0</v>
      </c>
      <c r="S11" s="133">
        <v>0</v>
      </c>
      <c r="T11" s="133">
        <v>0</v>
      </c>
      <c r="U11" s="133">
        <v>0</v>
      </c>
    </row>
    <row r="12" spans="1:21" ht="30">
      <c r="A12" s="114"/>
      <c r="B12" s="114" t="s">
        <v>642</v>
      </c>
      <c r="C12" s="125" t="s">
        <v>643</v>
      </c>
      <c r="D12" s="148">
        <f t="shared" si="0"/>
        <v>20000000</v>
      </c>
      <c r="E12" s="133">
        <v>0</v>
      </c>
      <c r="F12" s="133">
        <v>0</v>
      </c>
      <c r="G12" s="133">
        <v>20000000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48">
        <f t="shared" si="2"/>
        <v>20000000</v>
      </c>
      <c r="N12" s="133">
        <v>0</v>
      </c>
      <c r="O12" s="133">
        <v>0</v>
      </c>
      <c r="P12" s="133">
        <v>20000000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</row>
    <row r="13" spans="1:21" ht="30">
      <c r="A13" s="114"/>
      <c r="B13" s="114" t="s">
        <v>644</v>
      </c>
      <c r="C13" s="125" t="s">
        <v>645</v>
      </c>
      <c r="D13" s="148">
        <f t="shared" si="0"/>
        <v>45000000</v>
      </c>
      <c r="E13" s="133">
        <v>0</v>
      </c>
      <c r="F13" s="133">
        <v>0</v>
      </c>
      <c r="G13" s="133">
        <v>0</v>
      </c>
      <c r="H13" s="133">
        <v>0</v>
      </c>
      <c r="I13" s="133">
        <v>45000000</v>
      </c>
      <c r="J13" s="133">
        <v>0</v>
      </c>
      <c r="K13" s="133">
        <v>0</v>
      </c>
      <c r="L13" s="133">
        <v>0</v>
      </c>
      <c r="M13" s="148">
        <f t="shared" si="2"/>
        <v>45000000</v>
      </c>
      <c r="N13" s="133">
        <v>0</v>
      </c>
      <c r="O13" s="133">
        <v>0</v>
      </c>
      <c r="P13" s="133">
        <v>0</v>
      </c>
      <c r="Q13" s="133">
        <v>0</v>
      </c>
      <c r="R13" s="133">
        <v>45000000</v>
      </c>
      <c r="S13" s="133">
        <v>0</v>
      </c>
      <c r="T13" s="133">
        <v>0</v>
      </c>
      <c r="U13" s="133">
        <v>0</v>
      </c>
    </row>
    <row r="14" spans="1:21" ht="30">
      <c r="A14" s="114"/>
      <c r="B14" s="114" t="s">
        <v>646</v>
      </c>
      <c r="C14" s="125" t="s">
        <v>647</v>
      </c>
      <c r="D14" s="148">
        <f t="shared" si="0"/>
        <v>10000000</v>
      </c>
      <c r="E14" s="133">
        <v>0</v>
      </c>
      <c r="F14" s="133">
        <v>0</v>
      </c>
      <c r="G14" s="133">
        <v>0</v>
      </c>
      <c r="H14" s="133">
        <v>0</v>
      </c>
      <c r="I14" s="133">
        <v>10000000</v>
      </c>
      <c r="J14" s="133">
        <v>0</v>
      </c>
      <c r="K14" s="133">
        <v>0</v>
      </c>
      <c r="L14" s="133">
        <v>0</v>
      </c>
      <c r="M14" s="148">
        <f t="shared" si="2"/>
        <v>10000000</v>
      </c>
      <c r="N14" s="133">
        <v>0</v>
      </c>
      <c r="O14" s="133">
        <v>0</v>
      </c>
      <c r="P14" s="133">
        <v>0</v>
      </c>
      <c r="Q14" s="133">
        <v>0</v>
      </c>
      <c r="R14" s="133">
        <v>10000000</v>
      </c>
      <c r="S14" s="133">
        <v>0</v>
      </c>
      <c r="T14" s="133">
        <v>0</v>
      </c>
      <c r="U14" s="133">
        <v>0</v>
      </c>
    </row>
    <row r="15" spans="1:21" ht="18">
      <c r="A15" s="114"/>
      <c r="B15" s="114" t="s">
        <v>648</v>
      </c>
      <c r="C15" s="125" t="s">
        <v>649</v>
      </c>
      <c r="D15" s="148">
        <f t="shared" si="0"/>
        <v>1000000</v>
      </c>
      <c r="E15" s="133">
        <v>0</v>
      </c>
      <c r="F15" s="133">
        <v>0</v>
      </c>
      <c r="G15" s="133">
        <v>0</v>
      </c>
      <c r="H15" s="133">
        <v>0</v>
      </c>
      <c r="I15" s="133">
        <v>1000000</v>
      </c>
      <c r="J15" s="133">
        <v>0</v>
      </c>
      <c r="K15" s="133">
        <v>0</v>
      </c>
      <c r="L15" s="133">
        <v>0</v>
      </c>
      <c r="M15" s="148">
        <f t="shared" si="2"/>
        <v>1000000</v>
      </c>
      <c r="N15" s="133">
        <v>0</v>
      </c>
      <c r="O15" s="133">
        <v>0</v>
      </c>
      <c r="P15" s="133">
        <v>0</v>
      </c>
      <c r="Q15" s="133">
        <v>0</v>
      </c>
      <c r="R15" s="133">
        <v>1000000</v>
      </c>
      <c r="S15" s="133">
        <v>0</v>
      </c>
      <c r="T15" s="133">
        <v>0</v>
      </c>
      <c r="U15" s="133">
        <v>0</v>
      </c>
    </row>
    <row r="16" spans="1:21" ht="18">
      <c r="A16" s="114"/>
      <c r="B16" s="114" t="s">
        <v>650</v>
      </c>
      <c r="C16" s="125" t="s">
        <v>651</v>
      </c>
      <c r="D16" s="148">
        <f t="shared" si="0"/>
        <v>500000</v>
      </c>
      <c r="E16" s="133">
        <v>0</v>
      </c>
      <c r="F16" s="133">
        <v>0</v>
      </c>
      <c r="G16" s="133">
        <v>0</v>
      </c>
      <c r="H16" s="133">
        <v>0</v>
      </c>
      <c r="I16" s="133">
        <v>500000</v>
      </c>
      <c r="J16" s="133">
        <v>0</v>
      </c>
      <c r="K16" s="133">
        <v>0</v>
      </c>
      <c r="L16" s="133">
        <v>0</v>
      </c>
      <c r="M16" s="148">
        <f t="shared" si="2"/>
        <v>500000</v>
      </c>
      <c r="N16" s="133">
        <v>0</v>
      </c>
      <c r="O16" s="133">
        <v>0</v>
      </c>
      <c r="P16" s="133">
        <v>0</v>
      </c>
      <c r="Q16" s="133">
        <v>0</v>
      </c>
      <c r="R16" s="133">
        <v>500000</v>
      </c>
      <c r="S16" s="133">
        <v>0</v>
      </c>
      <c r="T16" s="133">
        <v>0</v>
      </c>
      <c r="U16" s="133">
        <v>0</v>
      </c>
    </row>
    <row r="17" spans="1:21" ht="18">
      <c r="A17" s="114" t="s">
        <v>76</v>
      </c>
      <c r="B17" s="114"/>
      <c r="C17" s="115" t="s">
        <v>36</v>
      </c>
      <c r="D17" s="129">
        <f t="shared" si="0"/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29">
        <f t="shared" si="2"/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</row>
    <row r="18" spans="1:21" ht="18">
      <c r="A18" s="114" t="s">
        <v>77</v>
      </c>
      <c r="B18" s="114"/>
      <c r="C18" s="115" t="s">
        <v>38</v>
      </c>
      <c r="D18" s="129">
        <f t="shared" si="0"/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29">
        <v>0</v>
      </c>
      <c r="M18" s="129">
        <f t="shared" si="2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29">
        <v>0</v>
      </c>
    </row>
    <row r="19" spans="1:21" ht="18" customHeight="1">
      <c r="A19" s="222" t="s">
        <v>364</v>
      </c>
      <c r="B19" s="222"/>
      <c r="C19" s="222"/>
      <c r="D19" s="129">
        <f t="shared" si="0"/>
        <v>77137000</v>
      </c>
      <c r="E19" s="130">
        <f aca="true" t="shared" si="4" ref="E19:L19">E10+E17+E18</f>
        <v>0</v>
      </c>
      <c r="F19" s="130">
        <f t="shared" si="4"/>
        <v>0</v>
      </c>
      <c r="G19" s="130">
        <f t="shared" si="4"/>
        <v>20000000</v>
      </c>
      <c r="H19" s="130">
        <f t="shared" si="4"/>
        <v>637000</v>
      </c>
      <c r="I19" s="130">
        <f t="shared" si="4"/>
        <v>56500000</v>
      </c>
      <c r="J19" s="130">
        <f t="shared" si="4"/>
        <v>0</v>
      </c>
      <c r="K19" s="130">
        <f t="shared" si="4"/>
        <v>0</v>
      </c>
      <c r="L19" s="130">
        <f t="shared" si="4"/>
        <v>0</v>
      </c>
      <c r="M19" s="129">
        <f t="shared" si="2"/>
        <v>78074000</v>
      </c>
      <c r="N19" s="130">
        <f aca="true" t="shared" si="5" ref="N19:U19">N10+N17+N18</f>
        <v>0</v>
      </c>
      <c r="O19" s="130">
        <f t="shared" si="5"/>
        <v>0</v>
      </c>
      <c r="P19" s="130">
        <f t="shared" si="5"/>
        <v>20000000</v>
      </c>
      <c r="Q19" s="130">
        <f t="shared" si="5"/>
        <v>1574000</v>
      </c>
      <c r="R19" s="130">
        <f t="shared" si="5"/>
        <v>56500000</v>
      </c>
      <c r="S19" s="130">
        <f t="shared" si="5"/>
        <v>0</v>
      </c>
      <c r="T19" s="130">
        <f t="shared" si="5"/>
        <v>0</v>
      </c>
      <c r="U19" s="130">
        <f t="shared" si="5"/>
        <v>0</v>
      </c>
    </row>
    <row r="21" spans="11:14" ht="12.75">
      <c r="K21" s="159"/>
      <c r="L21" s="159"/>
      <c r="M21" s="159"/>
      <c r="N21" s="159"/>
    </row>
    <row r="22" spans="11:14" ht="12.75">
      <c r="K22" s="159"/>
      <c r="L22" s="159" t="s">
        <v>315</v>
      </c>
      <c r="M22" s="159"/>
      <c r="N22" s="159"/>
    </row>
  </sheetData>
  <sheetProtection selectLockedCells="1" selectUnlockedCells="1"/>
  <mergeCells count="16">
    <mergeCell ref="A19:C19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3"/>
  <sheetViews>
    <sheetView view="pageBreakPreview" zoomScale="96" zoomScaleNormal="71" zoomScaleSheetLayoutView="96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41.421875" style="0" customWidth="1"/>
    <col min="4" max="4" width="19.28125" style="0" customWidth="1"/>
    <col min="5" max="12" width="14.57421875" style="0" customWidth="1"/>
    <col min="13" max="13" width="19.57421875" style="0" customWidth="1"/>
    <col min="14" max="14" width="14.8515625" style="0" customWidth="1"/>
    <col min="15" max="15" width="16.421875" style="0" customWidth="1"/>
    <col min="16" max="17" width="14.8515625" style="0" customWidth="1"/>
    <col min="18" max="18" width="21.00390625" style="0" customWidth="1"/>
    <col min="19" max="19" width="11.140625" style="0" customWidth="1"/>
    <col min="20" max="20" width="10.140625" style="0" customWidth="1"/>
    <col min="21" max="21" width="13.7109375" style="0" customWidth="1"/>
  </cols>
  <sheetData>
    <row r="1" spans="1:21" ht="18">
      <c r="A1" s="230" t="s">
        <v>1139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652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653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9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94.5" customHeight="1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80</v>
      </c>
      <c r="B10" s="114"/>
      <c r="C10" s="115" t="s">
        <v>34</v>
      </c>
      <c r="D10" s="129">
        <f aca="true" t="shared" si="0" ref="D10:D20">SUM(E10:L10)</f>
        <v>56125000</v>
      </c>
      <c r="E10" s="130">
        <f aca="true" t="shared" si="1" ref="E10:L10">SUM(E11:E17)</f>
        <v>0</v>
      </c>
      <c r="F10" s="130">
        <f t="shared" si="1"/>
        <v>0</v>
      </c>
      <c r="G10" s="130">
        <f t="shared" si="1"/>
        <v>5900000</v>
      </c>
      <c r="H10" s="130">
        <f t="shared" si="1"/>
        <v>7225000</v>
      </c>
      <c r="I10" s="130">
        <f t="shared" si="1"/>
        <v>43000000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29">
        <f aca="true" t="shared" si="2" ref="M10:M20">SUM(N10:U10)</f>
        <v>52258040</v>
      </c>
      <c r="N10" s="130">
        <f aca="true" t="shared" si="3" ref="N10:U10">SUM(N11:N17)</f>
        <v>0</v>
      </c>
      <c r="O10" s="130">
        <f t="shared" si="3"/>
        <v>0</v>
      </c>
      <c r="P10" s="130">
        <f t="shared" si="3"/>
        <v>4533040</v>
      </c>
      <c r="Q10" s="130">
        <f t="shared" si="3"/>
        <v>7225000</v>
      </c>
      <c r="R10" s="130">
        <f t="shared" si="3"/>
        <v>40500000</v>
      </c>
      <c r="S10" s="130">
        <f t="shared" si="3"/>
        <v>0</v>
      </c>
      <c r="T10" s="130">
        <f t="shared" si="3"/>
        <v>0</v>
      </c>
      <c r="U10" s="130">
        <f t="shared" si="3"/>
        <v>0</v>
      </c>
    </row>
    <row r="11" spans="1:21" ht="45">
      <c r="A11" s="114"/>
      <c r="B11" s="114" t="s">
        <v>654</v>
      </c>
      <c r="C11" s="125" t="s">
        <v>655</v>
      </c>
      <c r="D11" s="148">
        <f t="shared" si="0"/>
        <v>36000000</v>
      </c>
      <c r="E11" s="133">
        <v>0</v>
      </c>
      <c r="F11" s="133">
        <v>0</v>
      </c>
      <c r="G11" s="133">
        <v>0</v>
      </c>
      <c r="H11" s="133">
        <v>0</v>
      </c>
      <c r="I11" s="133">
        <v>36000000</v>
      </c>
      <c r="J11" s="133">
        <v>0</v>
      </c>
      <c r="K11" s="133">
        <v>0</v>
      </c>
      <c r="L11" s="133">
        <v>0</v>
      </c>
      <c r="M11" s="148">
        <f t="shared" si="2"/>
        <v>36000000</v>
      </c>
      <c r="N11" s="133">
        <v>0</v>
      </c>
      <c r="O11" s="133">
        <v>0</v>
      </c>
      <c r="P11" s="133">
        <v>0</v>
      </c>
      <c r="Q11" s="133"/>
      <c r="R11" s="133">
        <v>36000000</v>
      </c>
      <c r="S11" s="133">
        <v>0</v>
      </c>
      <c r="T11" s="133">
        <v>0</v>
      </c>
      <c r="U11" s="133">
        <v>0</v>
      </c>
    </row>
    <row r="12" spans="1:21" ht="60">
      <c r="A12" s="114"/>
      <c r="B12" s="114" t="s">
        <v>656</v>
      </c>
      <c r="C12" s="125" t="s">
        <v>657</v>
      </c>
      <c r="D12" s="148">
        <f t="shared" si="0"/>
        <v>4000000</v>
      </c>
      <c r="E12" s="133">
        <v>0</v>
      </c>
      <c r="F12" s="133">
        <v>0</v>
      </c>
      <c r="G12" s="133">
        <v>0</v>
      </c>
      <c r="H12" s="133">
        <v>0</v>
      </c>
      <c r="I12" s="133">
        <v>4000000</v>
      </c>
      <c r="J12" s="133">
        <v>0</v>
      </c>
      <c r="K12" s="133">
        <v>0</v>
      </c>
      <c r="L12" s="133">
        <v>0</v>
      </c>
      <c r="M12" s="148">
        <f t="shared" si="2"/>
        <v>4000000</v>
      </c>
      <c r="N12" s="133">
        <v>0</v>
      </c>
      <c r="O12" s="133">
        <v>0</v>
      </c>
      <c r="P12" s="133">
        <v>0</v>
      </c>
      <c r="Q12" s="133"/>
      <c r="R12" s="133">
        <v>4000000</v>
      </c>
      <c r="S12" s="133">
        <v>0</v>
      </c>
      <c r="T12" s="133">
        <v>0</v>
      </c>
      <c r="U12" s="133">
        <v>0</v>
      </c>
    </row>
    <row r="13" spans="1:21" ht="75">
      <c r="A13" s="114"/>
      <c r="B13" s="114" t="s">
        <v>658</v>
      </c>
      <c r="C13" s="125" t="s">
        <v>659</v>
      </c>
      <c r="D13" s="148">
        <f t="shared" si="0"/>
        <v>900000</v>
      </c>
      <c r="E13" s="133">
        <v>0</v>
      </c>
      <c r="F13" s="133">
        <v>0</v>
      </c>
      <c r="G13" s="133">
        <v>900000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48">
        <f t="shared" si="2"/>
        <v>900000</v>
      </c>
      <c r="N13" s="133">
        <v>0</v>
      </c>
      <c r="O13" s="133">
        <v>0</v>
      </c>
      <c r="P13" s="133">
        <v>900000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</row>
    <row r="14" spans="1:21" ht="18">
      <c r="A14" s="114"/>
      <c r="B14" s="114" t="s">
        <v>660</v>
      </c>
      <c r="C14" s="125" t="s">
        <v>661</v>
      </c>
      <c r="D14" s="148">
        <f t="shared" si="0"/>
        <v>2500000</v>
      </c>
      <c r="E14" s="133">
        <v>0</v>
      </c>
      <c r="F14" s="133">
        <v>0</v>
      </c>
      <c r="G14" s="133">
        <v>0</v>
      </c>
      <c r="H14" s="133">
        <v>0</v>
      </c>
      <c r="I14" s="133">
        <v>2500000</v>
      </c>
      <c r="J14" s="133">
        <v>0</v>
      </c>
      <c r="K14" s="133">
        <v>0</v>
      </c>
      <c r="L14" s="133">
        <v>0</v>
      </c>
      <c r="M14" s="148">
        <f t="shared" si="2"/>
        <v>0</v>
      </c>
      <c r="N14" s="133">
        <v>0</v>
      </c>
      <c r="O14" s="133">
        <v>0</v>
      </c>
      <c r="P14" s="133">
        <v>0</v>
      </c>
      <c r="Q14" s="133"/>
      <c r="R14" s="133">
        <v>0</v>
      </c>
      <c r="S14" s="133">
        <v>0</v>
      </c>
      <c r="T14" s="133">
        <v>0</v>
      </c>
      <c r="U14" s="133">
        <v>0</v>
      </c>
    </row>
    <row r="15" spans="1:21" ht="30">
      <c r="A15" s="114"/>
      <c r="B15" s="114" t="s">
        <v>662</v>
      </c>
      <c r="C15" s="125" t="s">
        <v>663</v>
      </c>
      <c r="D15" s="148">
        <f t="shared" si="0"/>
        <v>5000000</v>
      </c>
      <c r="E15" s="133">
        <v>0</v>
      </c>
      <c r="F15" s="133">
        <v>0</v>
      </c>
      <c r="G15" s="133">
        <v>5000000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48">
        <f t="shared" si="2"/>
        <v>3633040</v>
      </c>
      <c r="N15" s="133">
        <v>0</v>
      </c>
      <c r="O15" s="133">
        <v>0</v>
      </c>
      <c r="P15" s="133">
        <v>3633040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</row>
    <row r="16" spans="1:21" ht="30">
      <c r="A16" s="114"/>
      <c r="B16" s="114" t="s">
        <v>664</v>
      </c>
      <c r="C16" s="125" t="s">
        <v>665</v>
      </c>
      <c r="D16" s="148">
        <f t="shared" si="0"/>
        <v>7225000</v>
      </c>
      <c r="E16" s="133">
        <v>0</v>
      </c>
      <c r="F16" s="133">
        <v>0</v>
      </c>
      <c r="G16" s="133">
        <v>0</v>
      </c>
      <c r="H16" s="133">
        <v>7225000</v>
      </c>
      <c r="I16" s="133">
        <v>0</v>
      </c>
      <c r="J16" s="133">
        <v>0</v>
      </c>
      <c r="K16" s="133">
        <v>0</v>
      </c>
      <c r="L16" s="133">
        <v>0</v>
      </c>
      <c r="M16" s="148">
        <f t="shared" si="2"/>
        <v>7225000</v>
      </c>
      <c r="N16" s="133">
        <v>0</v>
      </c>
      <c r="O16" s="133">
        <v>0</v>
      </c>
      <c r="P16" s="133">
        <v>0</v>
      </c>
      <c r="Q16" s="133">
        <v>7225000</v>
      </c>
      <c r="R16" s="133">
        <v>0</v>
      </c>
      <c r="S16" s="133">
        <v>0</v>
      </c>
      <c r="T16" s="133">
        <v>0</v>
      </c>
      <c r="U16" s="133">
        <v>0</v>
      </c>
    </row>
    <row r="17" spans="1:21" ht="75" customHeight="1">
      <c r="A17" s="114"/>
      <c r="B17" s="114" t="s">
        <v>666</v>
      </c>
      <c r="C17" s="160" t="s">
        <v>667</v>
      </c>
      <c r="D17" s="148">
        <f t="shared" si="0"/>
        <v>500000</v>
      </c>
      <c r="E17" s="133">
        <v>0</v>
      </c>
      <c r="F17" s="133">
        <v>0</v>
      </c>
      <c r="G17" s="133">
        <v>0</v>
      </c>
      <c r="H17" s="133">
        <v>0</v>
      </c>
      <c r="I17" s="133">
        <v>500000</v>
      </c>
      <c r="J17" s="133">
        <v>0</v>
      </c>
      <c r="K17" s="133">
        <v>0</v>
      </c>
      <c r="L17" s="133">
        <v>0</v>
      </c>
      <c r="M17" s="148">
        <f t="shared" si="2"/>
        <v>500000</v>
      </c>
      <c r="N17" s="133">
        <v>0</v>
      </c>
      <c r="O17" s="133">
        <v>0</v>
      </c>
      <c r="P17" s="133">
        <v>0</v>
      </c>
      <c r="Q17" s="133">
        <v>0</v>
      </c>
      <c r="R17" s="133">
        <v>500000</v>
      </c>
      <c r="S17" s="133">
        <v>0</v>
      </c>
      <c r="T17" s="133">
        <v>0</v>
      </c>
      <c r="U17" s="133">
        <v>0</v>
      </c>
    </row>
    <row r="18" spans="1:21" ht="18">
      <c r="A18" s="114" t="s">
        <v>81</v>
      </c>
      <c r="B18" s="114"/>
      <c r="C18" s="115" t="s">
        <v>36</v>
      </c>
      <c r="D18" s="129">
        <f t="shared" si="0"/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29">
        <f t="shared" si="2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</row>
    <row r="19" spans="1:21" ht="18">
      <c r="A19" s="114" t="s">
        <v>82</v>
      </c>
      <c r="B19" s="114"/>
      <c r="C19" s="115" t="s">
        <v>38</v>
      </c>
      <c r="D19" s="129">
        <f t="shared" si="0"/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29">
        <v>0</v>
      </c>
      <c r="M19" s="129">
        <f t="shared" si="2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29">
        <v>0</v>
      </c>
    </row>
    <row r="20" spans="1:21" ht="18" customHeight="1">
      <c r="A20" s="222" t="s">
        <v>364</v>
      </c>
      <c r="B20" s="222"/>
      <c r="C20" s="222"/>
      <c r="D20" s="129">
        <f t="shared" si="0"/>
        <v>56125000</v>
      </c>
      <c r="E20" s="130">
        <f aca="true" t="shared" si="4" ref="E20:L20">E10+E18+E19</f>
        <v>0</v>
      </c>
      <c r="F20" s="130">
        <f t="shared" si="4"/>
        <v>0</v>
      </c>
      <c r="G20" s="130">
        <f t="shared" si="4"/>
        <v>5900000</v>
      </c>
      <c r="H20" s="130">
        <f t="shared" si="4"/>
        <v>7225000</v>
      </c>
      <c r="I20" s="130">
        <f t="shared" si="4"/>
        <v>43000000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29">
        <f t="shared" si="2"/>
        <v>52258040</v>
      </c>
      <c r="N20" s="130">
        <f aca="true" t="shared" si="5" ref="N20:U20">N10+N18+N19</f>
        <v>0</v>
      </c>
      <c r="O20" s="130">
        <f t="shared" si="5"/>
        <v>0</v>
      </c>
      <c r="P20" s="130">
        <f t="shared" si="5"/>
        <v>4533040</v>
      </c>
      <c r="Q20" s="130">
        <f t="shared" si="5"/>
        <v>7225000</v>
      </c>
      <c r="R20" s="130">
        <f t="shared" si="5"/>
        <v>40500000</v>
      </c>
      <c r="S20" s="130">
        <f t="shared" si="5"/>
        <v>0</v>
      </c>
      <c r="T20" s="130">
        <f t="shared" si="5"/>
        <v>0</v>
      </c>
      <c r="U20" s="130">
        <f t="shared" si="5"/>
        <v>0</v>
      </c>
    </row>
    <row r="23" spans="11:14" ht="12.75">
      <c r="K23" s="159"/>
      <c r="L23" s="159" t="s">
        <v>315</v>
      </c>
      <c r="M23" s="159"/>
      <c r="N23" s="159"/>
    </row>
  </sheetData>
  <sheetProtection selectLockedCells="1" selectUnlockedCells="1"/>
  <mergeCells count="16">
    <mergeCell ref="A20:C20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8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5"/>
  <sheetViews>
    <sheetView view="pageBreakPreview" zoomScale="106" zoomScaleNormal="71" zoomScaleSheetLayoutView="106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4" width="17.57421875" style="0" customWidth="1"/>
    <col min="5" max="5" width="11.28125" style="0" customWidth="1"/>
    <col min="6" max="6" width="14.140625" style="0" customWidth="1"/>
    <col min="7" max="7" width="14.00390625" style="0" customWidth="1"/>
    <col min="8" max="8" width="9.140625" style="0" customWidth="1"/>
    <col min="9" max="9" width="17.140625" style="0" customWidth="1"/>
    <col min="10" max="12" width="9.140625" style="0" customWidth="1"/>
    <col min="13" max="13" width="17.00390625" style="0" customWidth="1"/>
    <col min="14" max="21" width="15.140625" style="0" customWidth="1"/>
  </cols>
  <sheetData>
    <row r="1" spans="1:21" ht="18">
      <c r="A1" s="230" t="s">
        <v>1140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77"/>
      <c r="N3" s="77"/>
      <c r="O3" s="77"/>
      <c r="P3" s="77"/>
      <c r="Q3" s="77"/>
      <c r="R3" s="77"/>
      <c r="S3" s="77"/>
      <c r="T3" s="77"/>
      <c r="U3" s="77"/>
    </row>
    <row r="4" spans="1:21" ht="18" customHeight="1">
      <c r="A4" s="231" t="s">
        <v>668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</row>
    <row r="5" spans="1:21" ht="18">
      <c r="A5" s="232" t="s">
        <v>669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2.7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39"/>
      <c r="U6" s="127" t="s">
        <v>1</v>
      </c>
    </row>
    <row r="7" spans="1:21" ht="12.75">
      <c r="A7" s="128" t="s">
        <v>2</v>
      </c>
      <c r="B7" s="128" t="s">
        <v>3</v>
      </c>
      <c r="C7" s="128" t="s">
        <v>4</v>
      </c>
      <c r="D7" s="128" t="s">
        <v>5</v>
      </c>
      <c r="E7" s="128" t="s">
        <v>6</v>
      </c>
      <c r="F7" s="128" t="s">
        <v>7</v>
      </c>
      <c r="G7" s="128" t="s">
        <v>8</v>
      </c>
      <c r="H7" s="128" t="s">
        <v>9</v>
      </c>
      <c r="I7" s="128" t="s">
        <v>10</v>
      </c>
      <c r="J7" s="128" t="s">
        <v>11</v>
      </c>
      <c r="K7" s="128" t="s">
        <v>12</v>
      </c>
      <c r="L7" s="128" t="s">
        <v>13</v>
      </c>
      <c r="M7" s="128" t="s">
        <v>173</v>
      </c>
      <c r="N7" s="128" t="s">
        <v>174</v>
      </c>
      <c r="O7" s="128" t="s">
        <v>175</v>
      </c>
      <c r="P7" s="128" t="s">
        <v>176</v>
      </c>
      <c r="Q7" s="128" t="s">
        <v>177</v>
      </c>
      <c r="R7" s="128" t="s">
        <v>178</v>
      </c>
      <c r="S7" s="128" t="s">
        <v>179</v>
      </c>
      <c r="T7" s="128" t="s">
        <v>180</v>
      </c>
      <c r="U7" s="128" t="s">
        <v>181</v>
      </c>
    </row>
    <row r="8" spans="1:21" ht="12.75" customHeight="1">
      <c r="A8" s="233" t="s">
        <v>15</v>
      </c>
      <c r="B8" s="233" t="s">
        <v>186</v>
      </c>
      <c r="C8" s="228" t="s">
        <v>16</v>
      </c>
      <c r="D8" s="228" t="s">
        <v>17</v>
      </c>
      <c r="E8" s="219" t="s">
        <v>18</v>
      </c>
      <c r="F8" s="219"/>
      <c r="G8" s="219"/>
      <c r="H8" s="219"/>
      <c r="I8" s="219"/>
      <c r="J8" s="219"/>
      <c r="K8" s="219"/>
      <c r="L8" s="219"/>
      <c r="M8" s="228" t="s">
        <v>670</v>
      </c>
      <c r="N8" s="219" t="s">
        <v>20</v>
      </c>
      <c r="O8" s="219"/>
      <c r="P8" s="219"/>
      <c r="Q8" s="219"/>
      <c r="R8" s="219"/>
      <c r="S8" s="219"/>
      <c r="T8" s="219"/>
      <c r="U8" s="219"/>
    </row>
    <row r="9" spans="1:21" ht="12.75" customHeight="1">
      <c r="A9" s="233"/>
      <c r="B9" s="233"/>
      <c r="C9" s="228"/>
      <c r="D9" s="228"/>
      <c r="E9" s="220" t="s">
        <v>21</v>
      </c>
      <c r="F9" s="220"/>
      <c r="G9" s="220"/>
      <c r="H9" s="220"/>
      <c r="I9" s="220"/>
      <c r="J9" s="220" t="s">
        <v>22</v>
      </c>
      <c r="K9" s="220"/>
      <c r="L9" s="220"/>
      <c r="M9" s="228"/>
      <c r="N9" s="220" t="s">
        <v>21</v>
      </c>
      <c r="O9" s="220"/>
      <c r="P9" s="220"/>
      <c r="Q9" s="220"/>
      <c r="R9" s="220"/>
      <c r="S9" s="220" t="s">
        <v>22</v>
      </c>
      <c r="T9" s="220"/>
      <c r="U9" s="220"/>
    </row>
    <row r="10" spans="1:21" ht="89.25">
      <c r="A10" s="233"/>
      <c r="B10" s="233"/>
      <c r="C10" s="228"/>
      <c r="D10" s="228"/>
      <c r="E10" s="112" t="s">
        <v>23</v>
      </c>
      <c r="F10" s="112" t="s">
        <v>24</v>
      </c>
      <c r="G10" s="112" t="s">
        <v>25</v>
      </c>
      <c r="H10" s="112" t="s">
        <v>26</v>
      </c>
      <c r="I10" s="112" t="s">
        <v>27</v>
      </c>
      <c r="J10" s="112" t="s">
        <v>28</v>
      </c>
      <c r="K10" s="112" t="s">
        <v>29</v>
      </c>
      <c r="L10" s="112" t="s">
        <v>30</v>
      </c>
      <c r="M10" s="228"/>
      <c r="N10" s="112" t="s">
        <v>23</v>
      </c>
      <c r="O10" s="112" t="s">
        <v>24</v>
      </c>
      <c r="P10" s="112" t="s">
        <v>25</v>
      </c>
      <c r="Q10" s="112" t="s">
        <v>26</v>
      </c>
      <c r="R10" s="112" t="s">
        <v>27</v>
      </c>
      <c r="S10" s="112" t="s">
        <v>28</v>
      </c>
      <c r="T10" s="112" t="s">
        <v>29</v>
      </c>
      <c r="U10" s="112" t="s">
        <v>30</v>
      </c>
    </row>
    <row r="11" spans="1:21" ht="18">
      <c r="A11" s="114" t="s">
        <v>85</v>
      </c>
      <c r="B11" s="114"/>
      <c r="C11" s="115" t="s">
        <v>34</v>
      </c>
      <c r="D11" s="129">
        <f aca="true" t="shared" si="0" ref="D11:D21">SUM(E11:L11)</f>
        <v>12100000</v>
      </c>
      <c r="E11" s="130">
        <f aca="true" t="shared" si="1" ref="E11:L11">SUM(E12:E16)</f>
        <v>0</v>
      </c>
      <c r="F11" s="130">
        <f t="shared" si="1"/>
        <v>0</v>
      </c>
      <c r="G11" s="130">
        <f t="shared" si="1"/>
        <v>7100000</v>
      </c>
      <c r="H11" s="130">
        <f t="shared" si="1"/>
        <v>0</v>
      </c>
      <c r="I11" s="130">
        <f t="shared" si="1"/>
        <v>5000000</v>
      </c>
      <c r="J11" s="130">
        <f t="shared" si="1"/>
        <v>0</v>
      </c>
      <c r="K11" s="130">
        <f t="shared" si="1"/>
        <v>0</v>
      </c>
      <c r="L11" s="130">
        <f t="shared" si="1"/>
        <v>0</v>
      </c>
      <c r="M11" s="129">
        <f aca="true" t="shared" si="2" ref="M11:M21">SUM(N11:U11)</f>
        <v>12283984</v>
      </c>
      <c r="N11" s="130">
        <f aca="true" t="shared" si="3" ref="N11:U11">SUM(N12:N16)</f>
        <v>0</v>
      </c>
      <c r="O11" s="130">
        <f t="shared" si="3"/>
        <v>183614</v>
      </c>
      <c r="P11" s="130">
        <f t="shared" si="3"/>
        <v>6928370</v>
      </c>
      <c r="Q11" s="130">
        <f t="shared" si="3"/>
        <v>0</v>
      </c>
      <c r="R11" s="130">
        <f t="shared" si="3"/>
        <v>5172000</v>
      </c>
      <c r="S11" s="130">
        <f t="shared" si="3"/>
        <v>0</v>
      </c>
      <c r="T11" s="130">
        <f t="shared" si="3"/>
        <v>0</v>
      </c>
      <c r="U11" s="130">
        <f t="shared" si="3"/>
        <v>0</v>
      </c>
    </row>
    <row r="12" spans="1:21" ht="18">
      <c r="A12" s="114"/>
      <c r="B12" s="114" t="s">
        <v>671</v>
      </c>
      <c r="C12" s="125" t="s">
        <v>672</v>
      </c>
      <c r="D12" s="148">
        <f t="shared" si="0"/>
        <v>5000000</v>
      </c>
      <c r="E12" s="133">
        <v>0</v>
      </c>
      <c r="F12" s="133">
        <v>0</v>
      </c>
      <c r="G12" s="133">
        <v>5000000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48">
        <f t="shared" si="2"/>
        <v>5327720</v>
      </c>
      <c r="N12" s="133">
        <v>0</v>
      </c>
      <c r="O12" s="133">
        <v>0</v>
      </c>
      <c r="P12" s="133">
        <v>5327720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</row>
    <row r="13" spans="1:21" ht="30">
      <c r="A13" s="114"/>
      <c r="B13" s="114" t="s">
        <v>673</v>
      </c>
      <c r="C13" s="125" t="s">
        <v>674</v>
      </c>
      <c r="D13" s="148">
        <f t="shared" si="0"/>
        <v>500000</v>
      </c>
      <c r="E13" s="133">
        <v>0</v>
      </c>
      <c r="F13" s="133">
        <v>0</v>
      </c>
      <c r="G13" s="133">
        <v>500000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48">
        <f t="shared" si="2"/>
        <v>500000</v>
      </c>
      <c r="N13" s="133">
        <v>0</v>
      </c>
      <c r="O13" s="133">
        <v>0</v>
      </c>
      <c r="P13" s="133">
        <v>500000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</row>
    <row r="14" spans="1:21" ht="30">
      <c r="A14" s="114"/>
      <c r="B14" s="114" t="s">
        <v>675</v>
      </c>
      <c r="C14" s="125" t="s">
        <v>676</v>
      </c>
      <c r="D14" s="148">
        <f t="shared" si="0"/>
        <v>1600000</v>
      </c>
      <c r="E14" s="133">
        <v>0</v>
      </c>
      <c r="F14" s="133">
        <v>0</v>
      </c>
      <c r="G14" s="133">
        <v>1600000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48">
        <f t="shared" si="2"/>
        <v>1784264</v>
      </c>
      <c r="N14" s="133">
        <v>0</v>
      </c>
      <c r="O14" s="133">
        <f>43164+140450</f>
        <v>183614</v>
      </c>
      <c r="P14" s="133">
        <f>1241100-140450</f>
        <v>1100650</v>
      </c>
      <c r="Q14" s="133">
        <v>0</v>
      </c>
      <c r="R14" s="133">
        <v>500000</v>
      </c>
      <c r="S14" s="133">
        <v>0</v>
      </c>
      <c r="T14" s="133">
        <v>0</v>
      </c>
      <c r="U14" s="133">
        <v>0</v>
      </c>
    </row>
    <row r="15" spans="1:21" ht="18">
      <c r="A15" s="114"/>
      <c r="B15" s="114" t="s">
        <v>677</v>
      </c>
      <c r="C15" s="125" t="s">
        <v>678</v>
      </c>
      <c r="D15" s="148">
        <f t="shared" si="0"/>
        <v>2500000</v>
      </c>
      <c r="E15" s="133">
        <v>0</v>
      </c>
      <c r="F15" s="133">
        <v>0</v>
      </c>
      <c r="G15" s="133">
        <v>0</v>
      </c>
      <c r="H15" s="133">
        <v>0</v>
      </c>
      <c r="I15" s="133">
        <v>2500000</v>
      </c>
      <c r="J15" s="133">
        <v>0</v>
      </c>
      <c r="K15" s="133">
        <v>0</v>
      </c>
      <c r="L15" s="133">
        <v>0</v>
      </c>
      <c r="M15" s="148">
        <f t="shared" si="2"/>
        <v>2172000</v>
      </c>
      <c r="N15" s="133">
        <v>0</v>
      </c>
      <c r="O15" s="133">
        <v>0</v>
      </c>
      <c r="P15" s="133">
        <v>0</v>
      </c>
      <c r="Q15" s="133">
        <v>0</v>
      </c>
      <c r="R15" s="133">
        <f>2500000-328000</f>
        <v>2172000</v>
      </c>
      <c r="S15" s="133">
        <v>0</v>
      </c>
      <c r="T15" s="133">
        <v>0</v>
      </c>
      <c r="U15" s="133">
        <v>0</v>
      </c>
    </row>
    <row r="16" spans="1:21" ht="30">
      <c r="A16" s="114"/>
      <c r="B16" s="114" t="s">
        <v>679</v>
      </c>
      <c r="C16" s="125" t="s">
        <v>680</v>
      </c>
      <c r="D16" s="148">
        <f t="shared" si="0"/>
        <v>2500000</v>
      </c>
      <c r="E16" s="133">
        <v>0</v>
      </c>
      <c r="F16" s="133">
        <v>0</v>
      </c>
      <c r="G16" s="133">
        <v>0</v>
      </c>
      <c r="H16" s="133">
        <v>0</v>
      </c>
      <c r="I16" s="133">
        <v>2500000</v>
      </c>
      <c r="J16" s="133">
        <v>0</v>
      </c>
      <c r="K16" s="133">
        <v>0</v>
      </c>
      <c r="L16" s="133">
        <v>0</v>
      </c>
      <c r="M16" s="148">
        <f t="shared" si="2"/>
        <v>2500000</v>
      </c>
      <c r="N16" s="133">
        <v>0</v>
      </c>
      <c r="O16" s="133">
        <v>0</v>
      </c>
      <c r="P16" s="133">
        <v>0</v>
      </c>
      <c r="Q16" s="133">
        <v>0</v>
      </c>
      <c r="R16" s="133">
        <v>2500000</v>
      </c>
      <c r="S16" s="133">
        <v>0</v>
      </c>
      <c r="T16" s="133">
        <v>0</v>
      </c>
      <c r="U16" s="133">
        <v>0</v>
      </c>
    </row>
    <row r="17" spans="1:21" ht="18">
      <c r="A17" s="114" t="s">
        <v>86</v>
      </c>
      <c r="B17" s="114"/>
      <c r="C17" s="115" t="s">
        <v>36</v>
      </c>
      <c r="D17" s="129">
        <f t="shared" si="0"/>
        <v>8500000</v>
      </c>
      <c r="E17" s="130">
        <f aca="true" t="shared" si="4" ref="E17:L17">SUM(E18:E19)</f>
        <v>0</v>
      </c>
      <c r="F17" s="130">
        <f t="shared" si="4"/>
        <v>0</v>
      </c>
      <c r="G17" s="130">
        <f t="shared" si="4"/>
        <v>0</v>
      </c>
      <c r="H17" s="130">
        <f t="shared" si="4"/>
        <v>0</v>
      </c>
      <c r="I17" s="130">
        <f t="shared" si="4"/>
        <v>8500000</v>
      </c>
      <c r="J17" s="130">
        <f t="shared" si="4"/>
        <v>0</v>
      </c>
      <c r="K17" s="130">
        <f t="shared" si="4"/>
        <v>0</v>
      </c>
      <c r="L17" s="130">
        <f t="shared" si="4"/>
        <v>0</v>
      </c>
      <c r="M17" s="129">
        <f t="shared" si="2"/>
        <v>12472800</v>
      </c>
      <c r="N17" s="130">
        <f aca="true" t="shared" si="5" ref="N17:U17">SUM(N18:N19)</f>
        <v>8640000</v>
      </c>
      <c r="O17" s="130">
        <f t="shared" si="5"/>
        <v>2332800</v>
      </c>
      <c r="P17" s="130">
        <f t="shared" si="5"/>
        <v>0</v>
      </c>
      <c r="Q17" s="130">
        <f t="shared" si="5"/>
        <v>0</v>
      </c>
      <c r="R17" s="130">
        <f t="shared" si="5"/>
        <v>1500000</v>
      </c>
      <c r="S17" s="130">
        <f t="shared" si="5"/>
        <v>0</v>
      </c>
      <c r="T17" s="130">
        <f t="shared" si="5"/>
        <v>0</v>
      </c>
      <c r="U17" s="130">
        <f t="shared" si="5"/>
        <v>0</v>
      </c>
    </row>
    <row r="18" spans="1:21" ht="18">
      <c r="A18" s="114"/>
      <c r="B18" s="114" t="s">
        <v>681</v>
      </c>
      <c r="C18" s="125" t="s">
        <v>682</v>
      </c>
      <c r="D18" s="148">
        <f t="shared" si="0"/>
        <v>1500000</v>
      </c>
      <c r="E18" s="133">
        <v>0</v>
      </c>
      <c r="F18" s="133">
        <v>0</v>
      </c>
      <c r="G18" s="133">
        <v>0</v>
      </c>
      <c r="H18" s="133">
        <v>0</v>
      </c>
      <c r="I18" s="133">
        <v>1500000</v>
      </c>
      <c r="J18" s="133">
        <v>0</v>
      </c>
      <c r="K18" s="133">
        <v>0</v>
      </c>
      <c r="L18" s="133">
        <v>0</v>
      </c>
      <c r="M18" s="148">
        <f t="shared" si="2"/>
        <v>1500000</v>
      </c>
      <c r="N18" s="133">
        <v>0</v>
      </c>
      <c r="O18" s="133">
        <v>0</v>
      </c>
      <c r="P18" s="133">
        <v>0</v>
      </c>
      <c r="Q18" s="133">
        <v>0</v>
      </c>
      <c r="R18" s="133">
        <v>1500000</v>
      </c>
      <c r="S18" s="133">
        <v>0</v>
      </c>
      <c r="T18" s="133">
        <v>0</v>
      </c>
      <c r="U18" s="133">
        <v>0</v>
      </c>
    </row>
    <row r="19" spans="1:21" ht="18">
      <c r="A19" s="114"/>
      <c r="B19" s="114" t="s">
        <v>683</v>
      </c>
      <c r="C19" s="125" t="s">
        <v>684</v>
      </c>
      <c r="D19" s="148">
        <f t="shared" si="0"/>
        <v>7000000</v>
      </c>
      <c r="E19" s="133">
        <v>0</v>
      </c>
      <c r="F19" s="133">
        <v>0</v>
      </c>
      <c r="G19" s="133">
        <v>0</v>
      </c>
      <c r="H19" s="133">
        <v>0</v>
      </c>
      <c r="I19" s="133">
        <v>7000000</v>
      </c>
      <c r="J19" s="133">
        <v>0</v>
      </c>
      <c r="K19" s="133">
        <v>0</v>
      </c>
      <c r="L19" s="133">
        <v>0</v>
      </c>
      <c r="M19" s="148">
        <f t="shared" si="2"/>
        <v>10972800</v>
      </c>
      <c r="N19" s="133">
        <v>8640000</v>
      </c>
      <c r="O19" s="133">
        <v>2332800</v>
      </c>
      <c r="P19" s="133">
        <v>0</v>
      </c>
      <c r="Q19" s="133">
        <v>0</v>
      </c>
      <c r="R19" s="133">
        <f>7000000-7000000</f>
        <v>0</v>
      </c>
      <c r="S19" s="133">
        <v>0</v>
      </c>
      <c r="T19" s="133">
        <v>0</v>
      </c>
      <c r="U19" s="133">
        <v>0</v>
      </c>
    </row>
    <row r="20" spans="1:21" ht="18">
      <c r="A20" s="114" t="s">
        <v>87</v>
      </c>
      <c r="B20" s="114"/>
      <c r="C20" s="115" t="s">
        <v>38</v>
      </c>
      <c r="D20" s="129">
        <f t="shared" si="0"/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29">
        <v>0</v>
      </c>
      <c r="M20" s="129">
        <f t="shared" si="2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29">
        <v>0</v>
      </c>
    </row>
    <row r="21" spans="1:21" ht="18" customHeight="1">
      <c r="A21" s="222" t="s">
        <v>364</v>
      </c>
      <c r="B21" s="222"/>
      <c r="C21" s="222"/>
      <c r="D21" s="129">
        <f t="shared" si="0"/>
        <v>20600000</v>
      </c>
      <c r="E21" s="130">
        <f aca="true" t="shared" si="6" ref="E21:L21">E11+E17+E20</f>
        <v>0</v>
      </c>
      <c r="F21" s="130">
        <f t="shared" si="6"/>
        <v>0</v>
      </c>
      <c r="G21" s="130">
        <f t="shared" si="6"/>
        <v>7100000</v>
      </c>
      <c r="H21" s="130">
        <f t="shared" si="6"/>
        <v>0</v>
      </c>
      <c r="I21" s="130">
        <f t="shared" si="6"/>
        <v>13500000</v>
      </c>
      <c r="J21" s="130">
        <f t="shared" si="6"/>
        <v>0</v>
      </c>
      <c r="K21" s="130">
        <f t="shared" si="6"/>
        <v>0</v>
      </c>
      <c r="L21" s="130">
        <f t="shared" si="6"/>
        <v>0</v>
      </c>
      <c r="M21" s="129">
        <f t="shared" si="2"/>
        <v>24756784</v>
      </c>
      <c r="N21" s="130">
        <f aca="true" t="shared" si="7" ref="N21:U21">N11+N17+N20</f>
        <v>8640000</v>
      </c>
      <c r="O21" s="130">
        <f t="shared" si="7"/>
        <v>2516414</v>
      </c>
      <c r="P21" s="130">
        <f t="shared" si="7"/>
        <v>6928370</v>
      </c>
      <c r="Q21" s="130">
        <f t="shared" si="7"/>
        <v>0</v>
      </c>
      <c r="R21" s="130">
        <f t="shared" si="7"/>
        <v>6672000</v>
      </c>
      <c r="S21" s="130">
        <f t="shared" si="7"/>
        <v>0</v>
      </c>
      <c r="T21" s="130">
        <f t="shared" si="7"/>
        <v>0</v>
      </c>
      <c r="U21" s="130">
        <f t="shared" si="7"/>
        <v>0</v>
      </c>
    </row>
    <row r="23" spans="11:12" ht="12.75">
      <c r="K23" s="159"/>
      <c r="L23" s="159"/>
    </row>
    <row r="24" spans="11:12" ht="12.75">
      <c r="K24" s="159"/>
      <c r="L24" s="159"/>
    </row>
    <row r="25" spans="11:12" ht="12.75">
      <c r="K25" s="159"/>
      <c r="L25" s="159" t="s">
        <v>315</v>
      </c>
    </row>
  </sheetData>
  <sheetProtection selectLockedCells="1" selectUnlockedCells="1"/>
  <mergeCells count="17">
    <mergeCell ref="A21:C21"/>
    <mergeCell ref="A1:U1"/>
    <mergeCell ref="A3:L3"/>
    <mergeCell ref="A4:U4"/>
    <mergeCell ref="A5:U5"/>
    <mergeCell ref="A8:A10"/>
    <mergeCell ref="B8:B10"/>
    <mergeCell ref="C8:C10"/>
    <mergeCell ref="D8:D10"/>
    <mergeCell ref="E8:L8"/>
    <mergeCell ref="A2:U2"/>
    <mergeCell ref="N8:U8"/>
    <mergeCell ref="E9:I9"/>
    <mergeCell ref="J9:L9"/>
    <mergeCell ref="N9:R9"/>
    <mergeCell ref="S9:U9"/>
    <mergeCell ref="M8:M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1"/>
  <sheetViews>
    <sheetView view="pageBreakPreview" zoomScale="89" zoomScaleNormal="71" zoomScaleSheetLayoutView="89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7.00390625" style="0" customWidth="1"/>
    <col min="10" max="13" width="14.57421875" style="0" customWidth="1"/>
    <col min="14" max="14" width="19.7109375" style="0" customWidth="1"/>
    <col min="15" max="16" width="14.57421875" style="0" customWidth="1"/>
    <col min="17" max="17" width="10.28125" style="0" customWidth="1"/>
    <col min="18" max="18" width="17.57421875" style="0" customWidth="1"/>
    <col min="19" max="22" width="14.57421875" style="0" customWidth="1"/>
  </cols>
  <sheetData>
    <row r="1" spans="1:22" ht="18">
      <c r="A1" s="230" t="s">
        <v>1141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18">
      <c r="A2" s="229" t="s">
        <v>1042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8" customHeight="1">
      <c r="A3" s="231" t="s">
        <v>685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ht="18">
      <c r="A4" s="232" t="s">
        <v>686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39"/>
      <c r="V5" s="127" t="s">
        <v>687</v>
      </c>
    </row>
    <row r="6" spans="1:22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11" t="s">
        <v>13</v>
      </c>
      <c r="M6" s="111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11" t="s">
        <v>181</v>
      </c>
      <c r="V6" s="111" t="s">
        <v>182</v>
      </c>
    </row>
    <row r="7" spans="1:22" ht="12.75" customHeight="1">
      <c r="A7" s="233" t="s">
        <v>15</v>
      </c>
      <c r="B7" s="233" t="s">
        <v>186</v>
      </c>
      <c r="C7" s="233" t="s">
        <v>595</v>
      </c>
      <c r="D7" s="228" t="s">
        <v>16</v>
      </c>
      <c r="E7" s="228" t="s">
        <v>17</v>
      </c>
      <c r="F7" s="219" t="s">
        <v>18</v>
      </c>
      <c r="G7" s="219"/>
      <c r="H7" s="219"/>
      <c r="I7" s="219"/>
      <c r="J7" s="219"/>
      <c r="K7" s="219"/>
      <c r="L7" s="219"/>
      <c r="M7" s="219"/>
      <c r="N7" s="228" t="s">
        <v>19</v>
      </c>
      <c r="O7" s="219" t="s">
        <v>20</v>
      </c>
      <c r="P7" s="219"/>
      <c r="Q7" s="219"/>
      <c r="R7" s="219"/>
      <c r="S7" s="219"/>
      <c r="T7" s="219"/>
      <c r="U7" s="219"/>
      <c r="V7" s="219"/>
    </row>
    <row r="8" spans="1:22" ht="12.75" customHeight="1">
      <c r="A8" s="233"/>
      <c r="B8" s="233"/>
      <c r="C8" s="233"/>
      <c r="D8" s="228"/>
      <c r="E8" s="228"/>
      <c r="F8" s="220" t="s">
        <v>21</v>
      </c>
      <c r="G8" s="220"/>
      <c r="H8" s="220"/>
      <c r="I8" s="220"/>
      <c r="J8" s="220"/>
      <c r="K8" s="220" t="s">
        <v>22</v>
      </c>
      <c r="L8" s="220"/>
      <c r="M8" s="220"/>
      <c r="N8" s="228"/>
      <c r="O8" s="220" t="s">
        <v>21</v>
      </c>
      <c r="P8" s="220"/>
      <c r="Q8" s="220"/>
      <c r="R8" s="220"/>
      <c r="S8" s="220"/>
      <c r="T8" s="220" t="s">
        <v>22</v>
      </c>
      <c r="U8" s="220"/>
      <c r="V8" s="220"/>
    </row>
    <row r="9" spans="1:22" ht="93" customHeight="1">
      <c r="A9" s="233"/>
      <c r="B9" s="233"/>
      <c r="C9" s="233"/>
      <c r="D9" s="228"/>
      <c r="E9" s="228"/>
      <c r="F9" s="112" t="s">
        <v>23</v>
      </c>
      <c r="G9" s="112" t="s">
        <v>24</v>
      </c>
      <c r="H9" s="112" t="s">
        <v>25</v>
      </c>
      <c r="I9" s="112" t="s">
        <v>26</v>
      </c>
      <c r="J9" s="112" t="s">
        <v>27</v>
      </c>
      <c r="K9" s="112" t="s">
        <v>28</v>
      </c>
      <c r="L9" s="112" t="s">
        <v>29</v>
      </c>
      <c r="M9" s="112" t="s">
        <v>30</v>
      </c>
      <c r="N9" s="228"/>
      <c r="O9" s="112" t="s">
        <v>23</v>
      </c>
      <c r="P9" s="112" t="s">
        <v>24</v>
      </c>
      <c r="Q9" s="112" t="s">
        <v>25</v>
      </c>
      <c r="R9" s="112" t="s">
        <v>26</v>
      </c>
      <c r="S9" s="112" t="s">
        <v>27</v>
      </c>
      <c r="T9" s="112" t="s">
        <v>28</v>
      </c>
      <c r="U9" s="112" t="s">
        <v>29</v>
      </c>
      <c r="V9" s="112" t="s">
        <v>30</v>
      </c>
    </row>
    <row r="10" spans="1:22" ht="18">
      <c r="A10" s="114" t="s">
        <v>90</v>
      </c>
      <c r="B10" s="114"/>
      <c r="C10" s="114"/>
      <c r="D10" s="115" t="s">
        <v>34</v>
      </c>
      <c r="E10" s="129">
        <f aca="true" t="shared" si="0" ref="E10:E30">SUM(F10:M10)</f>
        <v>156000000</v>
      </c>
      <c r="F10" s="130">
        <f>F11++F22++F12+F17</f>
        <v>0</v>
      </c>
      <c r="G10" s="130">
        <f>G11++G22++G12+G17</f>
        <v>0</v>
      </c>
      <c r="H10" s="130">
        <f>H11++H22++H12+H17</f>
        <v>0</v>
      </c>
      <c r="I10" s="130">
        <f>I11+I12+I17+I22</f>
        <v>156000000</v>
      </c>
      <c r="J10" s="130">
        <f>J11+J12+J17</f>
        <v>0</v>
      </c>
      <c r="K10" s="130">
        <f>K11++K22+J15+K12+K17</f>
        <v>0</v>
      </c>
      <c r="L10" s="130">
        <f>L11++L22+K15+L12+L17</f>
        <v>0</v>
      </c>
      <c r="M10" s="130">
        <f>M11++M22+L15+M12+M17</f>
        <v>0</v>
      </c>
      <c r="N10" s="129">
        <f aca="true" t="shared" si="1" ref="N10:N30">SUM(O10:V10)</f>
        <v>174641218</v>
      </c>
      <c r="O10" s="130">
        <f>O11++O22++O12+O17</f>
        <v>0</v>
      </c>
      <c r="P10" s="130">
        <f>P11++P22++P12+P17</f>
        <v>0</v>
      </c>
      <c r="Q10" s="130">
        <f>Q11++Q22++Q12+Q17</f>
        <v>0</v>
      </c>
      <c r="R10" s="130">
        <f>R11+R12+R17+R22</f>
        <v>174641218</v>
      </c>
      <c r="S10" s="130">
        <f>S11+S12+S17</f>
        <v>0</v>
      </c>
      <c r="T10" s="130">
        <f>T11++T22+S15+T12+T17</f>
        <v>0</v>
      </c>
      <c r="U10" s="130">
        <f>U11++U22+T15+U12+U17</f>
        <v>0</v>
      </c>
      <c r="V10" s="130">
        <f>V11++V22+U15+V12+V17</f>
        <v>0</v>
      </c>
    </row>
    <row r="11" spans="1:22" ht="18">
      <c r="A11" s="114"/>
      <c r="B11" s="114" t="s">
        <v>688</v>
      </c>
      <c r="C11" s="114"/>
      <c r="D11" s="125" t="s">
        <v>689</v>
      </c>
      <c r="E11" s="148">
        <f t="shared" si="0"/>
        <v>7000000</v>
      </c>
      <c r="F11" s="133">
        <v>0</v>
      </c>
      <c r="G11" s="133">
        <v>0</v>
      </c>
      <c r="H11" s="133">
        <v>0</v>
      </c>
      <c r="I11" s="133">
        <v>7000000</v>
      </c>
      <c r="J11" s="133">
        <v>0</v>
      </c>
      <c r="K11" s="133">
        <v>0</v>
      </c>
      <c r="L11" s="133">
        <v>0</v>
      </c>
      <c r="M11" s="133">
        <v>0</v>
      </c>
      <c r="N11" s="148">
        <f t="shared" si="1"/>
        <v>8787016</v>
      </c>
      <c r="O11" s="133">
        <v>0</v>
      </c>
      <c r="P11" s="133">
        <v>0</v>
      </c>
      <c r="Q11" s="133">
        <v>0</v>
      </c>
      <c r="R11" s="133">
        <v>8787016</v>
      </c>
      <c r="S11" s="133">
        <v>0</v>
      </c>
      <c r="T11" s="133">
        <v>0</v>
      </c>
      <c r="U11" s="133">
        <v>0</v>
      </c>
      <c r="V11" s="133">
        <v>0</v>
      </c>
    </row>
    <row r="12" spans="1:22" ht="18">
      <c r="A12" s="114"/>
      <c r="B12" s="114" t="s">
        <v>690</v>
      </c>
      <c r="C12" s="114"/>
      <c r="D12" s="125" t="s">
        <v>691</v>
      </c>
      <c r="E12" s="129">
        <f t="shared" si="0"/>
        <v>102000000</v>
      </c>
      <c r="F12" s="161">
        <f aca="true" t="shared" si="2" ref="F12:M12">SUM(F13:F16)</f>
        <v>0</v>
      </c>
      <c r="G12" s="161">
        <f t="shared" si="2"/>
        <v>0</v>
      </c>
      <c r="H12" s="161">
        <f t="shared" si="2"/>
        <v>0</v>
      </c>
      <c r="I12" s="161">
        <f t="shared" si="2"/>
        <v>102000000</v>
      </c>
      <c r="J12" s="161">
        <f t="shared" si="2"/>
        <v>0</v>
      </c>
      <c r="K12" s="161">
        <f t="shared" si="2"/>
        <v>0</v>
      </c>
      <c r="L12" s="161">
        <f t="shared" si="2"/>
        <v>0</v>
      </c>
      <c r="M12" s="161">
        <f t="shared" si="2"/>
        <v>0</v>
      </c>
      <c r="N12" s="129">
        <f t="shared" si="1"/>
        <v>117000000</v>
      </c>
      <c r="O12" s="161">
        <f aca="true" t="shared" si="3" ref="O12:V12">SUM(O13:O16)</f>
        <v>0</v>
      </c>
      <c r="P12" s="161">
        <f t="shared" si="3"/>
        <v>0</v>
      </c>
      <c r="Q12" s="161">
        <f t="shared" si="3"/>
        <v>0</v>
      </c>
      <c r="R12" s="161">
        <f t="shared" si="3"/>
        <v>117000000</v>
      </c>
      <c r="S12" s="161">
        <f t="shared" si="3"/>
        <v>0</v>
      </c>
      <c r="T12" s="161">
        <f t="shared" si="3"/>
        <v>0</v>
      </c>
      <c r="U12" s="161">
        <f t="shared" si="3"/>
        <v>0</v>
      </c>
      <c r="V12" s="161">
        <f t="shared" si="3"/>
        <v>0</v>
      </c>
    </row>
    <row r="13" spans="1:22" ht="18">
      <c r="A13" s="114"/>
      <c r="B13" s="114"/>
      <c r="C13" s="114" t="s">
        <v>692</v>
      </c>
      <c r="D13" s="125" t="s">
        <v>693</v>
      </c>
      <c r="E13" s="148">
        <f t="shared" si="0"/>
        <v>50000000</v>
      </c>
      <c r="F13" s="133">
        <v>0</v>
      </c>
      <c r="G13" s="133">
        <v>0</v>
      </c>
      <c r="H13" s="133">
        <v>0</v>
      </c>
      <c r="I13" s="133">
        <v>50000000</v>
      </c>
      <c r="J13" s="133">
        <v>0</v>
      </c>
      <c r="K13" s="133">
        <v>0</v>
      </c>
      <c r="L13" s="133">
        <v>0</v>
      </c>
      <c r="M13" s="153">
        <v>0</v>
      </c>
      <c r="N13" s="148">
        <f t="shared" si="1"/>
        <v>65000000</v>
      </c>
      <c r="O13" s="133">
        <v>0</v>
      </c>
      <c r="P13" s="133">
        <v>0</v>
      </c>
      <c r="Q13" s="133">
        <v>0</v>
      </c>
      <c r="R13" s="133">
        <v>65000000</v>
      </c>
      <c r="S13" s="133">
        <v>0</v>
      </c>
      <c r="T13" s="133">
        <v>0</v>
      </c>
      <c r="U13" s="133">
        <v>0</v>
      </c>
      <c r="V13" s="153">
        <v>0</v>
      </c>
    </row>
    <row r="14" spans="1:22" ht="18">
      <c r="A14" s="114"/>
      <c r="B14" s="114"/>
      <c r="C14" s="114" t="s">
        <v>694</v>
      </c>
      <c r="D14" s="125" t="s">
        <v>695</v>
      </c>
      <c r="E14" s="148">
        <f t="shared" si="0"/>
        <v>15000000</v>
      </c>
      <c r="F14" s="133">
        <v>0</v>
      </c>
      <c r="G14" s="133">
        <v>0</v>
      </c>
      <c r="H14" s="133">
        <v>0</v>
      </c>
      <c r="I14" s="133">
        <v>15000000</v>
      </c>
      <c r="J14" s="133">
        <v>0</v>
      </c>
      <c r="K14" s="133">
        <v>0</v>
      </c>
      <c r="L14" s="133">
        <v>0</v>
      </c>
      <c r="M14" s="153">
        <v>0</v>
      </c>
      <c r="N14" s="148">
        <f t="shared" si="1"/>
        <v>15000000</v>
      </c>
      <c r="O14" s="133">
        <v>0</v>
      </c>
      <c r="P14" s="133">
        <v>0</v>
      </c>
      <c r="Q14" s="133">
        <v>0</v>
      </c>
      <c r="R14" s="133">
        <v>15000000</v>
      </c>
      <c r="S14" s="133">
        <v>0</v>
      </c>
      <c r="T14" s="133">
        <v>0</v>
      </c>
      <c r="U14" s="133">
        <v>0</v>
      </c>
      <c r="V14" s="153">
        <v>0</v>
      </c>
    </row>
    <row r="15" spans="1:22" ht="18">
      <c r="A15" s="114"/>
      <c r="B15" s="114"/>
      <c r="C15" s="114" t="s">
        <v>696</v>
      </c>
      <c r="D15" s="125" t="s">
        <v>697</v>
      </c>
      <c r="E15" s="148">
        <f t="shared" si="0"/>
        <v>22000000</v>
      </c>
      <c r="F15" s="133">
        <v>0</v>
      </c>
      <c r="G15" s="133">
        <v>0</v>
      </c>
      <c r="H15" s="133">
        <v>0</v>
      </c>
      <c r="I15" s="133">
        <v>22000000</v>
      </c>
      <c r="J15" s="133">
        <v>0</v>
      </c>
      <c r="K15" s="133">
        <v>0</v>
      </c>
      <c r="L15" s="133">
        <v>0</v>
      </c>
      <c r="M15" s="153">
        <v>0</v>
      </c>
      <c r="N15" s="148">
        <f t="shared" si="1"/>
        <v>22000000</v>
      </c>
      <c r="O15" s="133">
        <v>0</v>
      </c>
      <c r="P15" s="133">
        <v>0</v>
      </c>
      <c r="Q15" s="133">
        <v>0</v>
      </c>
      <c r="R15" s="133">
        <v>22000000</v>
      </c>
      <c r="S15" s="133">
        <v>0</v>
      </c>
      <c r="T15" s="133">
        <v>0</v>
      </c>
      <c r="U15" s="133">
        <v>0</v>
      </c>
      <c r="V15" s="153">
        <v>0</v>
      </c>
    </row>
    <row r="16" spans="1:22" ht="18">
      <c r="A16" s="114"/>
      <c r="B16" s="114"/>
      <c r="C16" s="114" t="s">
        <v>698</v>
      </c>
      <c r="D16" s="125" t="s">
        <v>699</v>
      </c>
      <c r="E16" s="148">
        <f t="shared" si="0"/>
        <v>15000000</v>
      </c>
      <c r="F16" s="133">
        <v>0</v>
      </c>
      <c r="G16" s="133">
        <v>0</v>
      </c>
      <c r="H16" s="133">
        <v>0</v>
      </c>
      <c r="I16" s="133">
        <v>15000000</v>
      </c>
      <c r="J16" s="133">
        <v>0</v>
      </c>
      <c r="K16" s="133">
        <v>0</v>
      </c>
      <c r="L16" s="133">
        <v>0</v>
      </c>
      <c r="M16" s="153">
        <v>0</v>
      </c>
      <c r="N16" s="148">
        <f t="shared" si="1"/>
        <v>15000000</v>
      </c>
      <c r="O16" s="133">
        <v>0</v>
      </c>
      <c r="P16" s="133">
        <v>0</v>
      </c>
      <c r="Q16" s="133">
        <v>0</v>
      </c>
      <c r="R16" s="133">
        <v>15000000</v>
      </c>
      <c r="S16" s="133">
        <v>0</v>
      </c>
      <c r="T16" s="133">
        <v>0</v>
      </c>
      <c r="U16" s="133">
        <v>0</v>
      </c>
      <c r="V16" s="153">
        <v>0</v>
      </c>
    </row>
    <row r="17" spans="1:22" ht="18">
      <c r="A17" s="114"/>
      <c r="B17" s="114" t="s">
        <v>700</v>
      </c>
      <c r="C17" s="114"/>
      <c r="D17" s="125" t="s">
        <v>701</v>
      </c>
      <c r="E17" s="129">
        <f t="shared" si="0"/>
        <v>17000000</v>
      </c>
      <c r="F17" s="161">
        <f>SUM(F19:F21)</f>
        <v>0</v>
      </c>
      <c r="G17" s="161">
        <f>SUM(G19:G21)</f>
        <v>0</v>
      </c>
      <c r="H17" s="161">
        <f>SUM(H19:H21)</f>
        <v>0</v>
      </c>
      <c r="I17" s="161">
        <f>SUM(I18:I21)</f>
        <v>17000000</v>
      </c>
      <c r="J17" s="161">
        <f>SUM(J19:J21)</f>
        <v>0</v>
      </c>
      <c r="K17" s="161">
        <f>SUM(K19:K21)</f>
        <v>0</v>
      </c>
      <c r="L17" s="161">
        <f>SUM(L19:L21)</f>
        <v>0</v>
      </c>
      <c r="M17" s="161">
        <f>SUM(M19:M21)</f>
        <v>0</v>
      </c>
      <c r="N17" s="129">
        <f t="shared" si="1"/>
        <v>18854202</v>
      </c>
      <c r="O17" s="161">
        <f>SUM(O19:O21)</f>
        <v>0</v>
      </c>
      <c r="P17" s="161">
        <f>SUM(P19:P21)</f>
        <v>0</v>
      </c>
      <c r="Q17" s="161">
        <f>SUM(Q19:Q21)</f>
        <v>0</v>
      </c>
      <c r="R17" s="161">
        <f>SUM(R18:R21)</f>
        <v>18854202</v>
      </c>
      <c r="S17" s="161">
        <f>SUM(S19:S21)</f>
        <v>0</v>
      </c>
      <c r="T17" s="161">
        <f>SUM(T19:T21)</f>
        <v>0</v>
      </c>
      <c r="U17" s="161">
        <f>SUM(U19:U21)</f>
        <v>0</v>
      </c>
      <c r="V17" s="161">
        <f>SUM(V19:V21)</f>
        <v>0</v>
      </c>
    </row>
    <row r="18" spans="1:22" ht="18">
      <c r="A18" s="114"/>
      <c r="B18" s="114"/>
      <c r="C18" s="114" t="s">
        <v>702</v>
      </c>
      <c r="D18" s="125" t="s">
        <v>703</v>
      </c>
      <c r="E18" s="148">
        <f t="shared" si="0"/>
        <v>6000000</v>
      </c>
      <c r="F18" s="133">
        <v>0</v>
      </c>
      <c r="G18" s="133">
        <v>0</v>
      </c>
      <c r="H18" s="133">
        <v>0</v>
      </c>
      <c r="I18" s="133">
        <v>6000000</v>
      </c>
      <c r="J18" s="133">
        <v>0</v>
      </c>
      <c r="K18" s="133">
        <v>0</v>
      </c>
      <c r="L18" s="133">
        <v>0</v>
      </c>
      <c r="M18" s="133">
        <v>0</v>
      </c>
      <c r="N18" s="148">
        <f t="shared" si="1"/>
        <v>6000000</v>
      </c>
      <c r="O18" s="133">
        <v>0</v>
      </c>
      <c r="P18" s="133">
        <v>0</v>
      </c>
      <c r="Q18" s="133">
        <v>0</v>
      </c>
      <c r="R18" s="133">
        <v>6000000</v>
      </c>
      <c r="S18" s="133">
        <v>0</v>
      </c>
      <c r="T18" s="133">
        <v>0</v>
      </c>
      <c r="U18" s="133">
        <v>0</v>
      </c>
      <c r="V18" s="133">
        <v>0</v>
      </c>
    </row>
    <row r="19" spans="1:22" ht="18">
      <c r="A19" s="114"/>
      <c r="B19" s="114"/>
      <c r="C19" s="114" t="s">
        <v>704</v>
      </c>
      <c r="D19" s="125" t="s">
        <v>705</v>
      </c>
      <c r="E19" s="148">
        <f t="shared" si="0"/>
        <v>5000000</v>
      </c>
      <c r="F19" s="133">
        <v>0</v>
      </c>
      <c r="G19" s="133">
        <v>0</v>
      </c>
      <c r="H19" s="133">
        <v>0</v>
      </c>
      <c r="I19" s="133">
        <v>5000000</v>
      </c>
      <c r="J19" s="133">
        <v>0</v>
      </c>
      <c r="K19" s="133">
        <v>0</v>
      </c>
      <c r="L19" s="133">
        <v>0</v>
      </c>
      <c r="M19" s="133">
        <v>0</v>
      </c>
      <c r="N19" s="148">
        <f t="shared" si="1"/>
        <v>5000000</v>
      </c>
      <c r="O19" s="133">
        <v>0</v>
      </c>
      <c r="P19" s="133">
        <v>0</v>
      </c>
      <c r="Q19" s="133">
        <v>0</v>
      </c>
      <c r="R19" s="133">
        <v>5000000</v>
      </c>
      <c r="S19" s="133">
        <v>0</v>
      </c>
      <c r="T19" s="133">
        <v>0</v>
      </c>
      <c r="U19" s="133">
        <v>0</v>
      </c>
      <c r="V19" s="133">
        <v>0</v>
      </c>
    </row>
    <row r="20" spans="1:22" ht="18">
      <c r="A20" s="114"/>
      <c r="B20" s="114"/>
      <c r="C20" s="114" t="s">
        <v>706</v>
      </c>
      <c r="D20" s="125" t="s">
        <v>707</v>
      </c>
      <c r="E20" s="148">
        <f t="shared" si="0"/>
        <v>4000000</v>
      </c>
      <c r="F20" s="133">
        <v>0</v>
      </c>
      <c r="G20" s="133">
        <v>0</v>
      </c>
      <c r="H20" s="133">
        <v>0</v>
      </c>
      <c r="I20" s="133">
        <v>4000000</v>
      </c>
      <c r="J20" s="133">
        <v>0</v>
      </c>
      <c r="K20" s="133">
        <v>0</v>
      </c>
      <c r="L20" s="133">
        <v>0</v>
      </c>
      <c r="M20" s="133">
        <v>0</v>
      </c>
      <c r="N20" s="148">
        <f t="shared" si="1"/>
        <v>6354680</v>
      </c>
      <c r="O20" s="133">
        <v>0</v>
      </c>
      <c r="P20" s="133">
        <v>0</v>
      </c>
      <c r="Q20" s="133">
        <v>0</v>
      </c>
      <c r="R20" s="133">
        <v>6354680</v>
      </c>
      <c r="S20" s="133">
        <v>0</v>
      </c>
      <c r="T20" s="133">
        <v>0</v>
      </c>
      <c r="U20" s="133">
        <v>0</v>
      </c>
      <c r="V20" s="133">
        <v>0</v>
      </c>
    </row>
    <row r="21" spans="1:22" ht="18">
      <c r="A21" s="114"/>
      <c r="B21" s="114"/>
      <c r="C21" s="114" t="s">
        <v>708</v>
      </c>
      <c r="D21" s="125" t="s">
        <v>709</v>
      </c>
      <c r="E21" s="148">
        <f t="shared" si="0"/>
        <v>2000000</v>
      </c>
      <c r="F21" s="133">
        <v>0</v>
      </c>
      <c r="G21" s="133">
        <v>0</v>
      </c>
      <c r="H21" s="133">
        <v>0</v>
      </c>
      <c r="I21" s="133">
        <v>2000000</v>
      </c>
      <c r="J21" s="133">
        <v>0</v>
      </c>
      <c r="K21" s="133">
        <v>0</v>
      </c>
      <c r="L21" s="133">
        <v>0</v>
      </c>
      <c r="M21" s="133">
        <v>0</v>
      </c>
      <c r="N21" s="148">
        <f t="shared" si="1"/>
        <v>1499522</v>
      </c>
      <c r="O21" s="133">
        <v>0</v>
      </c>
      <c r="P21" s="133">
        <v>0</v>
      </c>
      <c r="Q21" s="133">
        <v>0</v>
      </c>
      <c r="R21" s="133">
        <v>1499522</v>
      </c>
      <c r="S21" s="133">
        <v>0</v>
      </c>
      <c r="T21" s="133">
        <v>0</v>
      </c>
      <c r="U21" s="133">
        <v>0</v>
      </c>
      <c r="V21" s="133">
        <v>0</v>
      </c>
    </row>
    <row r="22" spans="1:22" ht="18">
      <c r="A22" s="114"/>
      <c r="B22" s="114" t="s">
        <v>710</v>
      </c>
      <c r="C22" s="114"/>
      <c r="D22" s="125" t="s">
        <v>711</v>
      </c>
      <c r="E22" s="148">
        <f t="shared" si="0"/>
        <v>30000000</v>
      </c>
      <c r="F22" s="133">
        <v>0</v>
      </c>
      <c r="G22" s="133">
        <v>0</v>
      </c>
      <c r="H22" s="133">
        <v>0</v>
      </c>
      <c r="I22" s="133">
        <v>30000000</v>
      </c>
      <c r="J22" s="133">
        <v>0</v>
      </c>
      <c r="K22" s="133">
        <v>0</v>
      </c>
      <c r="L22" s="133">
        <v>0</v>
      </c>
      <c r="M22" s="133">
        <v>0</v>
      </c>
      <c r="N22" s="148">
        <f t="shared" si="1"/>
        <v>30000000</v>
      </c>
      <c r="O22" s="133">
        <v>0</v>
      </c>
      <c r="P22" s="133">
        <v>0</v>
      </c>
      <c r="Q22" s="133">
        <v>0</v>
      </c>
      <c r="R22" s="133">
        <v>30000000</v>
      </c>
      <c r="S22" s="133">
        <v>0</v>
      </c>
      <c r="T22" s="133">
        <v>0</v>
      </c>
      <c r="U22" s="133">
        <v>0</v>
      </c>
      <c r="V22" s="133">
        <v>0</v>
      </c>
    </row>
    <row r="23" spans="1:22" ht="18">
      <c r="A23" s="114" t="s">
        <v>91</v>
      </c>
      <c r="B23" s="114"/>
      <c r="C23" s="114"/>
      <c r="D23" s="115" t="s">
        <v>36</v>
      </c>
      <c r="E23" s="129">
        <f t="shared" si="0"/>
        <v>266240000</v>
      </c>
      <c r="F23" s="130">
        <f aca="true" t="shared" si="4" ref="F23:M23">SUM(F24:F28)</f>
        <v>0</v>
      </c>
      <c r="G23" s="130">
        <f t="shared" si="4"/>
        <v>0</v>
      </c>
      <c r="H23" s="130">
        <f t="shared" si="4"/>
        <v>0</v>
      </c>
      <c r="I23" s="130">
        <f t="shared" si="4"/>
        <v>266240000</v>
      </c>
      <c r="J23" s="130">
        <f t="shared" si="4"/>
        <v>0</v>
      </c>
      <c r="K23" s="130">
        <f t="shared" si="4"/>
        <v>0</v>
      </c>
      <c r="L23" s="130">
        <f t="shared" si="4"/>
        <v>0</v>
      </c>
      <c r="M23" s="130">
        <f t="shared" si="4"/>
        <v>0</v>
      </c>
      <c r="N23" s="129">
        <f t="shared" si="1"/>
        <v>265723391</v>
      </c>
      <c r="O23" s="130">
        <f aca="true" t="shared" si="5" ref="O23:V23">SUM(O24:O28)</f>
        <v>0</v>
      </c>
      <c r="P23" s="130">
        <f t="shared" si="5"/>
        <v>0</v>
      </c>
      <c r="Q23" s="130">
        <f t="shared" si="5"/>
        <v>0</v>
      </c>
      <c r="R23" s="130">
        <f t="shared" si="5"/>
        <v>265723391</v>
      </c>
      <c r="S23" s="130">
        <f t="shared" si="5"/>
        <v>0</v>
      </c>
      <c r="T23" s="130">
        <f t="shared" si="5"/>
        <v>0</v>
      </c>
      <c r="U23" s="130">
        <f t="shared" si="5"/>
        <v>0</v>
      </c>
      <c r="V23" s="130">
        <f t="shared" si="5"/>
        <v>0</v>
      </c>
    </row>
    <row r="24" spans="1:22" ht="30">
      <c r="A24" s="114"/>
      <c r="B24" s="114" t="s">
        <v>712</v>
      </c>
      <c r="C24" s="114"/>
      <c r="D24" s="125" t="s">
        <v>713</v>
      </c>
      <c r="E24" s="148">
        <f t="shared" si="0"/>
        <v>20000000</v>
      </c>
      <c r="F24" s="133">
        <v>0</v>
      </c>
      <c r="G24" s="133">
        <v>0</v>
      </c>
      <c r="H24" s="133">
        <v>0</v>
      </c>
      <c r="I24" s="133">
        <v>20000000</v>
      </c>
      <c r="J24" s="133">
        <v>0</v>
      </c>
      <c r="K24" s="133">
        <v>0</v>
      </c>
      <c r="L24" s="133">
        <v>0</v>
      </c>
      <c r="M24" s="133">
        <v>0</v>
      </c>
      <c r="N24" s="148">
        <f t="shared" si="1"/>
        <v>19483391</v>
      </c>
      <c r="O24" s="133">
        <v>0</v>
      </c>
      <c r="P24" s="133">
        <v>0</v>
      </c>
      <c r="Q24" s="133">
        <v>0</v>
      </c>
      <c r="R24" s="133">
        <v>19483391</v>
      </c>
      <c r="S24" s="133">
        <v>0</v>
      </c>
      <c r="T24" s="133">
        <v>0</v>
      </c>
      <c r="U24" s="133">
        <v>0</v>
      </c>
      <c r="V24" s="133">
        <v>0</v>
      </c>
    </row>
    <row r="25" spans="1:22" ht="30">
      <c r="A25" s="114"/>
      <c r="B25" s="114" t="s">
        <v>714</v>
      </c>
      <c r="C25" s="114"/>
      <c r="D25" s="125" t="s">
        <v>715</v>
      </c>
      <c r="E25" s="148">
        <f t="shared" si="0"/>
        <v>215000000</v>
      </c>
      <c r="F25" s="133">
        <v>0</v>
      </c>
      <c r="G25" s="133">
        <v>0</v>
      </c>
      <c r="H25" s="133">
        <v>0</v>
      </c>
      <c r="I25" s="133">
        <v>215000000</v>
      </c>
      <c r="J25" s="133">
        <v>0</v>
      </c>
      <c r="K25" s="133">
        <v>0</v>
      </c>
      <c r="L25" s="133">
        <v>0</v>
      </c>
      <c r="M25" s="133">
        <v>0</v>
      </c>
      <c r="N25" s="148">
        <f t="shared" si="1"/>
        <v>215000000</v>
      </c>
      <c r="O25" s="133">
        <v>0</v>
      </c>
      <c r="P25" s="133">
        <v>0</v>
      </c>
      <c r="Q25" s="133">
        <v>0</v>
      </c>
      <c r="R25" s="133">
        <v>215000000</v>
      </c>
      <c r="S25" s="133">
        <v>0</v>
      </c>
      <c r="T25" s="133">
        <v>0</v>
      </c>
      <c r="U25" s="133">
        <v>0</v>
      </c>
      <c r="V25" s="133">
        <v>0</v>
      </c>
    </row>
    <row r="26" spans="1:22" ht="18">
      <c r="A26" s="114"/>
      <c r="B26" s="114" t="s">
        <v>716</v>
      </c>
      <c r="C26" s="114"/>
      <c r="D26" s="125" t="s">
        <v>717</v>
      </c>
      <c r="E26" s="148">
        <f t="shared" si="0"/>
        <v>25000000</v>
      </c>
      <c r="F26" s="133">
        <v>0</v>
      </c>
      <c r="G26" s="133">
        <v>0</v>
      </c>
      <c r="H26" s="133">
        <v>0</v>
      </c>
      <c r="I26" s="133">
        <v>25000000</v>
      </c>
      <c r="J26" s="133">
        <v>0</v>
      </c>
      <c r="K26" s="133">
        <v>0</v>
      </c>
      <c r="L26" s="133">
        <v>0</v>
      </c>
      <c r="M26" s="133">
        <v>0</v>
      </c>
      <c r="N26" s="148">
        <f t="shared" si="1"/>
        <v>25000000</v>
      </c>
      <c r="O26" s="133">
        <v>0</v>
      </c>
      <c r="P26" s="133">
        <v>0</v>
      </c>
      <c r="Q26" s="133">
        <v>0</v>
      </c>
      <c r="R26" s="133">
        <v>25000000</v>
      </c>
      <c r="S26" s="133">
        <v>0</v>
      </c>
      <c r="T26" s="133">
        <v>0</v>
      </c>
      <c r="U26" s="133">
        <v>0</v>
      </c>
      <c r="V26" s="133">
        <v>0</v>
      </c>
    </row>
    <row r="27" spans="1:22" ht="18">
      <c r="A27" s="114"/>
      <c r="B27" s="114" t="s">
        <v>718</v>
      </c>
      <c r="C27" s="114"/>
      <c r="D27" s="125" t="s">
        <v>719</v>
      </c>
      <c r="E27" s="148">
        <f t="shared" si="0"/>
        <v>6000000</v>
      </c>
      <c r="F27" s="133">
        <v>0</v>
      </c>
      <c r="G27" s="133">
        <v>0</v>
      </c>
      <c r="H27" s="133">
        <v>0</v>
      </c>
      <c r="I27" s="133">
        <v>6000000</v>
      </c>
      <c r="J27" s="133">
        <v>0</v>
      </c>
      <c r="K27" s="133">
        <v>0</v>
      </c>
      <c r="L27" s="133">
        <v>0</v>
      </c>
      <c r="M27" s="133">
        <v>0</v>
      </c>
      <c r="N27" s="148">
        <f t="shared" si="1"/>
        <v>6000000</v>
      </c>
      <c r="O27" s="133">
        <v>0</v>
      </c>
      <c r="P27" s="133">
        <v>0</v>
      </c>
      <c r="Q27" s="133">
        <v>0</v>
      </c>
      <c r="R27" s="133">
        <v>6000000</v>
      </c>
      <c r="S27" s="133">
        <v>0</v>
      </c>
      <c r="T27" s="133">
        <v>0</v>
      </c>
      <c r="U27" s="133">
        <v>0</v>
      </c>
      <c r="V27" s="133">
        <v>0</v>
      </c>
    </row>
    <row r="28" spans="1:22" ht="18">
      <c r="A28" s="114"/>
      <c r="B28" s="114" t="s">
        <v>720</v>
      </c>
      <c r="C28" s="114"/>
      <c r="D28" s="125" t="s">
        <v>721</v>
      </c>
      <c r="E28" s="148">
        <f t="shared" si="0"/>
        <v>240000</v>
      </c>
      <c r="F28" s="133">
        <v>0</v>
      </c>
      <c r="G28" s="133">
        <v>0</v>
      </c>
      <c r="H28" s="133">
        <v>0</v>
      </c>
      <c r="I28" s="133">
        <v>240000</v>
      </c>
      <c r="J28" s="133">
        <v>0</v>
      </c>
      <c r="K28" s="133">
        <v>0</v>
      </c>
      <c r="L28" s="133">
        <v>0</v>
      </c>
      <c r="M28" s="133">
        <v>0</v>
      </c>
      <c r="N28" s="148">
        <f t="shared" si="1"/>
        <v>240000</v>
      </c>
      <c r="O28" s="133">
        <v>0</v>
      </c>
      <c r="P28" s="133">
        <v>0</v>
      </c>
      <c r="Q28" s="133">
        <v>0</v>
      </c>
      <c r="R28" s="133">
        <v>240000</v>
      </c>
      <c r="S28" s="133">
        <v>0</v>
      </c>
      <c r="T28" s="133">
        <v>0</v>
      </c>
      <c r="U28" s="133">
        <v>0</v>
      </c>
      <c r="V28" s="133">
        <v>0</v>
      </c>
    </row>
    <row r="29" spans="1:22" ht="18">
      <c r="A29" s="114" t="s">
        <v>92</v>
      </c>
      <c r="B29" s="114"/>
      <c r="C29" s="114"/>
      <c r="D29" s="115" t="s">
        <v>38</v>
      </c>
      <c r="E29" s="129">
        <f t="shared" si="0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29">
        <v>0</v>
      </c>
      <c r="N29" s="129">
        <f t="shared" si="1"/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29">
        <v>0</v>
      </c>
    </row>
    <row r="30" spans="1:22" ht="18" customHeight="1">
      <c r="A30" s="222" t="s">
        <v>364</v>
      </c>
      <c r="B30" s="222"/>
      <c r="C30" s="222"/>
      <c r="D30" s="222"/>
      <c r="E30" s="129">
        <f t="shared" si="0"/>
        <v>422240000</v>
      </c>
      <c r="F30" s="130">
        <f aca="true" t="shared" si="6" ref="F30:M30">F10+F23+F29</f>
        <v>0</v>
      </c>
      <c r="G30" s="130">
        <f t="shared" si="6"/>
        <v>0</v>
      </c>
      <c r="H30" s="130">
        <f t="shared" si="6"/>
        <v>0</v>
      </c>
      <c r="I30" s="130">
        <f t="shared" si="6"/>
        <v>422240000</v>
      </c>
      <c r="J30" s="130">
        <f t="shared" si="6"/>
        <v>0</v>
      </c>
      <c r="K30" s="130">
        <f t="shared" si="6"/>
        <v>0</v>
      </c>
      <c r="L30" s="130">
        <f t="shared" si="6"/>
        <v>0</v>
      </c>
      <c r="M30" s="130">
        <f t="shared" si="6"/>
        <v>0</v>
      </c>
      <c r="N30" s="129">
        <f t="shared" si="1"/>
        <v>440364609</v>
      </c>
      <c r="O30" s="130">
        <f aca="true" t="shared" si="7" ref="O30:V30">O10+O23+O29</f>
        <v>0</v>
      </c>
      <c r="P30" s="130">
        <f t="shared" si="7"/>
        <v>0</v>
      </c>
      <c r="Q30" s="130">
        <f t="shared" si="7"/>
        <v>0</v>
      </c>
      <c r="R30" s="130">
        <f t="shared" si="7"/>
        <v>440364609</v>
      </c>
      <c r="S30" s="130">
        <f t="shared" si="7"/>
        <v>0</v>
      </c>
      <c r="T30" s="130">
        <f t="shared" si="7"/>
        <v>0</v>
      </c>
      <c r="U30" s="130">
        <f t="shared" si="7"/>
        <v>0</v>
      </c>
      <c r="V30" s="130">
        <f t="shared" si="7"/>
        <v>0</v>
      </c>
    </row>
    <row r="31" ht="18" customHeight="1">
      <c r="N31" s="162"/>
    </row>
  </sheetData>
  <sheetProtection selectLockedCells="1" selectUnlockedCells="1"/>
  <mergeCells count="17">
    <mergeCell ref="A1:V1"/>
    <mergeCell ref="A3:V3"/>
    <mergeCell ref="A4:V4"/>
    <mergeCell ref="A7:A9"/>
    <mergeCell ref="B7:B9"/>
    <mergeCell ref="C7:C9"/>
    <mergeCell ref="D7:D9"/>
    <mergeCell ref="E7:E9"/>
    <mergeCell ref="F7:M7"/>
    <mergeCell ref="A30:D30"/>
    <mergeCell ref="A2:V2"/>
    <mergeCell ref="N7:N9"/>
    <mergeCell ref="O7:V7"/>
    <mergeCell ref="F8:J8"/>
    <mergeCell ref="K8:M8"/>
    <mergeCell ref="O8:S8"/>
    <mergeCell ref="T8:V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46"/>
  <sheetViews>
    <sheetView view="pageBreakPreview" zoomScale="66" zoomScaleNormal="71" zoomScaleSheetLayoutView="66" zoomScalePageLayoutView="0" workbookViewId="0" topLeftCell="A1">
      <selection activeCell="A1" sqref="A1:V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5.140625" style="0" customWidth="1"/>
    <col min="4" max="4" width="60.140625" style="0" customWidth="1"/>
    <col min="5" max="5" width="16.8515625" style="0" customWidth="1"/>
    <col min="6" max="7" width="14.57421875" style="0" customWidth="1"/>
    <col min="8" max="8" width="19.57421875" style="0" customWidth="1"/>
    <col min="9" max="9" width="14.57421875" style="0" customWidth="1"/>
    <col min="10" max="10" width="16.7109375" style="0" customWidth="1"/>
    <col min="11" max="13" width="14.57421875" style="0" customWidth="1"/>
    <col min="14" max="14" width="19.7109375" style="0" customWidth="1"/>
    <col min="15" max="16" width="13.7109375" style="0" customWidth="1"/>
    <col min="17" max="17" width="17.00390625" style="0" customWidth="1"/>
    <col min="18" max="18" width="13.7109375" style="0" customWidth="1"/>
    <col min="19" max="19" width="16.00390625" style="0" customWidth="1"/>
    <col min="20" max="22" width="13.7109375" style="0" customWidth="1"/>
  </cols>
  <sheetData>
    <row r="1" spans="1:22" ht="18">
      <c r="A1" s="230" t="s">
        <v>1142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18">
      <c r="A2" s="229" t="s">
        <v>1043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8" customHeight="1">
      <c r="A3" s="231" t="s">
        <v>722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ht="18">
      <c r="A4" s="232" t="s">
        <v>723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63"/>
      <c r="V5" s="127" t="s">
        <v>1</v>
      </c>
    </row>
    <row r="6" spans="1:22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  <c r="V6" s="128" t="s">
        <v>182</v>
      </c>
    </row>
    <row r="7" spans="1:22" ht="12.75" customHeight="1">
      <c r="A7" s="235" t="s">
        <v>15</v>
      </c>
      <c r="B7" s="235" t="s">
        <v>186</v>
      </c>
      <c r="C7" s="235" t="s">
        <v>595</v>
      </c>
      <c r="D7" s="219" t="s">
        <v>16</v>
      </c>
      <c r="E7" s="219" t="s">
        <v>17</v>
      </c>
      <c r="F7" s="219" t="s">
        <v>18</v>
      </c>
      <c r="G7" s="219"/>
      <c r="H7" s="219"/>
      <c r="I7" s="219"/>
      <c r="J7" s="219"/>
      <c r="K7" s="219"/>
      <c r="L7" s="219"/>
      <c r="M7" s="219"/>
      <c r="N7" s="219" t="s">
        <v>19</v>
      </c>
      <c r="O7" s="219" t="s">
        <v>20</v>
      </c>
      <c r="P7" s="219"/>
      <c r="Q7" s="219"/>
      <c r="R7" s="219"/>
      <c r="S7" s="219"/>
      <c r="T7" s="219"/>
      <c r="U7" s="219"/>
      <c r="V7" s="219"/>
    </row>
    <row r="8" spans="1:22" ht="12.75" customHeight="1">
      <c r="A8" s="235"/>
      <c r="B8" s="235"/>
      <c r="C8" s="235"/>
      <c r="D8" s="219"/>
      <c r="E8" s="219"/>
      <c r="F8" s="234" t="s">
        <v>21</v>
      </c>
      <c r="G8" s="234"/>
      <c r="H8" s="234"/>
      <c r="I8" s="234"/>
      <c r="J8" s="234"/>
      <c r="K8" s="234" t="s">
        <v>22</v>
      </c>
      <c r="L8" s="234"/>
      <c r="M8" s="234"/>
      <c r="N8" s="219"/>
      <c r="O8" s="234" t="s">
        <v>21</v>
      </c>
      <c r="P8" s="234"/>
      <c r="Q8" s="234"/>
      <c r="R8" s="234"/>
      <c r="S8" s="234"/>
      <c r="T8" s="234" t="s">
        <v>22</v>
      </c>
      <c r="U8" s="234"/>
      <c r="V8" s="234"/>
    </row>
    <row r="9" spans="1:22" ht="94.5" customHeight="1">
      <c r="A9" s="235"/>
      <c r="B9" s="235"/>
      <c r="C9" s="235"/>
      <c r="D9" s="219"/>
      <c r="E9" s="219"/>
      <c r="F9" s="113" t="s">
        <v>23</v>
      </c>
      <c r="G9" s="113" t="s">
        <v>24</v>
      </c>
      <c r="H9" s="113" t="s">
        <v>25</v>
      </c>
      <c r="I9" s="113" t="s">
        <v>26</v>
      </c>
      <c r="J9" s="113" t="s">
        <v>27</v>
      </c>
      <c r="K9" s="113" t="s">
        <v>28</v>
      </c>
      <c r="L9" s="113" t="s">
        <v>29</v>
      </c>
      <c r="M9" s="113" t="s">
        <v>30</v>
      </c>
      <c r="N9" s="219"/>
      <c r="O9" s="113" t="s">
        <v>23</v>
      </c>
      <c r="P9" s="113" t="s">
        <v>24</v>
      </c>
      <c r="Q9" s="113" t="s">
        <v>25</v>
      </c>
      <c r="R9" s="113" t="s">
        <v>26</v>
      </c>
      <c r="S9" s="113" t="s">
        <v>27</v>
      </c>
      <c r="T9" s="113" t="s">
        <v>28</v>
      </c>
      <c r="U9" s="113" t="s">
        <v>29</v>
      </c>
      <c r="V9" s="113" t="s">
        <v>30</v>
      </c>
    </row>
    <row r="10" spans="1:22" ht="18">
      <c r="A10" s="114" t="s">
        <v>100</v>
      </c>
      <c r="B10" s="114"/>
      <c r="C10" s="114"/>
      <c r="D10" s="115" t="s">
        <v>34</v>
      </c>
      <c r="E10" s="129">
        <f aca="true" t="shared" si="0" ref="E10:E42">SUM(F10:M10)</f>
        <v>75799000</v>
      </c>
      <c r="F10" s="130">
        <f aca="true" t="shared" si="1" ref="F10:M10">SUM(F11:F22)+F43</f>
        <v>2850000</v>
      </c>
      <c r="G10" s="130">
        <f t="shared" si="1"/>
        <v>775000</v>
      </c>
      <c r="H10" s="130">
        <f t="shared" si="1"/>
        <v>28174000</v>
      </c>
      <c r="I10" s="130">
        <f t="shared" si="1"/>
        <v>0</v>
      </c>
      <c r="J10" s="130">
        <f t="shared" si="1"/>
        <v>44000000</v>
      </c>
      <c r="K10" s="130">
        <f t="shared" si="1"/>
        <v>0</v>
      </c>
      <c r="L10" s="130">
        <f t="shared" si="1"/>
        <v>0</v>
      </c>
      <c r="M10" s="130">
        <f t="shared" si="1"/>
        <v>0</v>
      </c>
      <c r="N10" s="129">
        <f aca="true" t="shared" si="2" ref="N10:N42">SUM(O10:V10)</f>
        <v>94431644</v>
      </c>
      <c r="O10" s="130">
        <f aca="true" t="shared" si="3" ref="O10:V10">SUM(O11:O22)+O43</f>
        <v>1023349</v>
      </c>
      <c r="P10" s="130">
        <f t="shared" si="3"/>
        <v>975415</v>
      </c>
      <c r="Q10" s="130">
        <f t="shared" si="3"/>
        <v>32413377</v>
      </c>
      <c r="R10" s="130">
        <f t="shared" si="3"/>
        <v>0</v>
      </c>
      <c r="S10" s="130">
        <f t="shared" si="3"/>
        <v>59419503</v>
      </c>
      <c r="T10" s="130">
        <f t="shared" si="3"/>
        <v>0</v>
      </c>
      <c r="U10" s="130">
        <f t="shared" si="3"/>
        <v>0</v>
      </c>
      <c r="V10" s="130">
        <f t="shared" si="3"/>
        <v>600000</v>
      </c>
    </row>
    <row r="11" spans="1:22" ht="30">
      <c r="A11" s="114"/>
      <c r="B11" s="114" t="s">
        <v>724</v>
      </c>
      <c r="C11" s="114"/>
      <c r="D11" s="125" t="s">
        <v>725</v>
      </c>
      <c r="E11" s="148">
        <f t="shared" si="0"/>
        <v>7400000</v>
      </c>
      <c r="F11" s="133">
        <v>200000</v>
      </c>
      <c r="G11" s="133">
        <v>50000</v>
      </c>
      <c r="H11" s="133">
        <v>4150000</v>
      </c>
      <c r="I11" s="133">
        <v>0</v>
      </c>
      <c r="J11" s="133">
        <v>3000000</v>
      </c>
      <c r="K11" s="133">
        <v>0</v>
      </c>
      <c r="L11" s="133">
        <v>0</v>
      </c>
      <c r="M11" s="133">
        <v>0</v>
      </c>
      <c r="N11" s="148">
        <f t="shared" si="2"/>
        <v>9127877</v>
      </c>
      <c r="O11" s="133">
        <v>200000</v>
      </c>
      <c r="P11" s="133">
        <v>50000</v>
      </c>
      <c r="Q11" s="133">
        <v>4877877</v>
      </c>
      <c r="R11" s="133">
        <v>0</v>
      </c>
      <c r="S11" s="133">
        <v>4000000</v>
      </c>
      <c r="T11" s="133">
        <v>0</v>
      </c>
      <c r="U11" s="133">
        <v>0</v>
      </c>
      <c r="V11" s="133">
        <v>0</v>
      </c>
    </row>
    <row r="12" spans="1:22" ht="18">
      <c r="A12" s="114"/>
      <c r="B12" s="114" t="s">
        <v>726</v>
      </c>
      <c r="C12" s="114"/>
      <c r="D12" s="125" t="s">
        <v>727</v>
      </c>
      <c r="E12" s="148">
        <f t="shared" si="0"/>
        <v>2424000</v>
      </c>
      <c r="F12" s="133">
        <v>150000</v>
      </c>
      <c r="G12" s="133">
        <v>50000</v>
      </c>
      <c r="H12" s="133">
        <v>2224000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48">
        <f t="shared" si="2"/>
        <v>3963764</v>
      </c>
      <c r="O12" s="133">
        <v>823349</v>
      </c>
      <c r="P12" s="133">
        <v>250415</v>
      </c>
      <c r="Q12" s="133">
        <v>2890000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</row>
    <row r="13" spans="1:22" ht="18">
      <c r="A13" s="114"/>
      <c r="B13" s="114" t="s">
        <v>728</v>
      </c>
      <c r="C13" s="114"/>
      <c r="D13" s="125" t="s">
        <v>729</v>
      </c>
      <c r="E13" s="148">
        <f t="shared" si="0"/>
        <v>3000000</v>
      </c>
      <c r="F13" s="133">
        <v>0</v>
      </c>
      <c r="G13" s="133">
        <v>0</v>
      </c>
      <c r="H13" s="133">
        <v>1500000</v>
      </c>
      <c r="I13" s="133">
        <v>0</v>
      </c>
      <c r="J13" s="133">
        <v>1500000</v>
      </c>
      <c r="K13" s="133">
        <v>0</v>
      </c>
      <c r="L13" s="133">
        <v>0</v>
      </c>
      <c r="M13" s="133">
        <v>0</v>
      </c>
      <c r="N13" s="148">
        <f t="shared" si="2"/>
        <v>3000000</v>
      </c>
      <c r="O13" s="133">
        <v>0</v>
      </c>
      <c r="P13" s="133">
        <v>0</v>
      </c>
      <c r="Q13" s="133">
        <v>1500000</v>
      </c>
      <c r="R13" s="133">
        <v>0</v>
      </c>
      <c r="S13" s="133">
        <v>1500000</v>
      </c>
      <c r="T13" s="133">
        <v>0</v>
      </c>
      <c r="U13" s="133">
        <v>0</v>
      </c>
      <c r="V13" s="133">
        <v>0</v>
      </c>
    </row>
    <row r="14" spans="1:22" ht="18">
      <c r="A14" s="114"/>
      <c r="B14" s="114" t="s">
        <v>730</v>
      </c>
      <c r="C14" s="114"/>
      <c r="D14" s="125" t="s">
        <v>731</v>
      </c>
      <c r="E14" s="148">
        <f t="shared" si="0"/>
        <v>300000</v>
      </c>
      <c r="F14" s="133">
        <v>0</v>
      </c>
      <c r="G14" s="133">
        <v>0</v>
      </c>
      <c r="H14" s="133">
        <v>300000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48">
        <f t="shared" si="2"/>
        <v>750000</v>
      </c>
      <c r="O14" s="133">
        <v>0</v>
      </c>
      <c r="P14" s="133">
        <v>0</v>
      </c>
      <c r="Q14" s="133">
        <v>750000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</row>
    <row r="15" spans="1:22" ht="18">
      <c r="A15" s="114"/>
      <c r="B15" s="114" t="s">
        <v>732</v>
      </c>
      <c r="C15" s="114"/>
      <c r="D15" s="125" t="s">
        <v>733</v>
      </c>
      <c r="E15" s="148">
        <f t="shared" si="0"/>
        <v>4150000</v>
      </c>
      <c r="F15" s="133">
        <v>0</v>
      </c>
      <c r="G15" s="133">
        <v>0</v>
      </c>
      <c r="H15" s="133">
        <v>0</v>
      </c>
      <c r="I15" s="133">
        <v>0</v>
      </c>
      <c r="J15" s="133">
        <v>4150000</v>
      </c>
      <c r="K15" s="133">
        <v>0</v>
      </c>
      <c r="L15" s="133">
        <v>0</v>
      </c>
      <c r="M15" s="133">
        <v>0</v>
      </c>
      <c r="N15" s="148">
        <f t="shared" si="2"/>
        <v>4450000</v>
      </c>
      <c r="O15" s="133">
        <v>0</v>
      </c>
      <c r="P15" s="133">
        <v>0</v>
      </c>
      <c r="Q15" s="133">
        <v>300000</v>
      </c>
      <c r="R15" s="133">
        <v>0</v>
      </c>
      <c r="S15" s="133">
        <v>4150000</v>
      </c>
      <c r="T15" s="133">
        <v>0</v>
      </c>
      <c r="U15" s="133">
        <v>0</v>
      </c>
      <c r="V15" s="133">
        <v>0</v>
      </c>
    </row>
    <row r="16" spans="1:22" ht="18">
      <c r="A16" s="114"/>
      <c r="B16" s="114" t="s">
        <v>734</v>
      </c>
      <c r="C16" s="114"/>
      <c r="D16" s="125" t="s">
        <v>735</v>
      </c>
      <c r="E16" s="148">
        <f t="shared" si="0"/>
        <v>20000000</v>
      </c>
      <c r="F16" s="133">
        <v>0</v>
      </c>
      <c r="G16" s="133">
        <v>0</v>
      </c>
      <c r="H16" s="133">
        <v>20000000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48">
        <f t="shared" si="2"/>
        <v>20000000</v>
      </c>
      <c r="O16" s="133">
        <v>0</v>
      </c>
      <c r="P16" s="133">
        <v>0</v>
      </c>
      <c r="Q16" s="133">
        <v>20000000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</row>
    <row r="17" spans="1:22" ht="18">
      <c r="A17" s="114"/>
      <c r="B17" s="114" t="s">
        <v>736</v>
      </c>
      <c r="C17" s="114"/>
      <c r="D17" s="125" t="s">
        <v>737</v>
      </c>
      <c r="E17" s="148">
        <f t="shared" si="0"/>
        <v>500000</v>
      </c>
      <c r="F17" s="133">
        <v>0</v>
      </c>
      <c r="G17" s="133">
        <v>0</v>
      </c>
      <c r="H17" s="133">
        <v>0</v>
      </c>
      <c r="I17" s="133">
        <v>0</v>
      </c>
      <c r="J17" s="133">
        <v>500000</v>
      </c>
      <c r="K17" s="133">
        <v>0</v>
      </c>
      <c r="L17" s="133">
        <v>0</v>
      </c>
      <c r="M17" s="133">
        <v>0</v>
      </c>
      <c r="N17" s="148">
        <f t="shared" si="2"/>
        <v>500000</v>
      </c>
      <c r="O17" s="133">
        <v>0</v>
      </c>
      <c r="P17" s="133">
        <v>0</v>
      </c>
      <c r="Q17" s="133">
        <v>0</v>
      </c>
      <c r="R17" s="133">
        <v>0</v>
      </c>
      <c r="S17" s="133">
        <v>500000</v>
      </c>
      <c r="T17" s="133">
        <v>0</v>
      </c>
      <c r="U17" s="133">
        <v>0</v>
      </c>
      <c r="V17" s="133">
        <v>0</v>
      </c>
    </row>
    <row r="18" spans="1:22" ht="18">
      <c r="A18" s="114"/>
      <c r="B18" s="114" t="s">
        <v>738</v>
      </c>
      <c r="C18" s="114"/>
      <c r="D18" s="125" t="s">
        <v>739</v>
      </c>
      <c r="E18" s="148">
        <f t="shared" si="0"/>
        <v>2000000</v>
      </c>
      <c r="F18" s="133">
        <v>0</v>
      </c>
      <c r="G18" s="133">
        <v>0</v>
      </c>
      <c r="H18" s="133">
        <v>0</v>
      </c>
      <c r="I18" s="133">
        <v>0</v>
      </c>
      <c r="J18" s="133">
        <v>2000000</v>
      </c>
      <c r="K18" s="133">
        <v>0</v>
      </c>
      <c r="L18" s="133">
        <v>0</v>
      </c>
      <c r="M18" s="133">
        <v>0</v>
      </c>
      <c r="N18" s="148">
        <f t="shared" si="2"/>
        <v>4000000</v>
      </c>
      <c r="O18" s="133">
        <v>0</v>
      </c>
      <c r="P18" s="133">
        <v>0</v>
      </c>
      <c r="Q18" s="133">
        <v>0</v>
      </c>
      <c r="R18" s="133">
        <v>0</v>
      </c>
      <c r="S18" s="133">
        <v>4000000</v>
      </c>
      <c r="T18" s="133">
        <v>0</v>
      </c>
      <c r="U18" s="133">
        <v>0</v>
      </c>
      <c r="V18" s="133">
        <v>0</v>
      </c>
    </row>
    <row r="19" spans="1:22" ht="30">
      <c r="A19" s="114"/>
      <c r="B19" s="114" t="s">
        <v>740</v>
      </c>
      <c r="C19" s="114"/>
      <c r="D19" s="125" t="s">
        <v>741</v>
      </c>
      <c r="E19" s="148">
        <f t="shared" si="0"/>
        <v>2500000</v>
      </c>
      <c r="F19" s="133">
        <v>0</v>
      </c>
      <c r="G19" s="133">
        <v>0</v>
      </c>
      <c r="H19" s="133">
        <v>0</v>
      </c>
      <c r="I19" s="133">
        <v>0</v>
      </c>
      <c r="J19" s="133">
        <v>2500000</v>
      </c>
      <c r="K19" s="133">
        <v>0</v>
      </c>
      <c r="L19" s="133">
        <v>0</v>
      </c>
      <c r="M19" s="133">
        <v>0</v>
      </c>
      <c r="N19" s="148">
        <f t="shared" si="2"/>
        <v>2500000</v>
      </c>
      <c r="O19" s="133">
        <v>0</v>
      </c>
      <c r="P19" s="133">
        <v>0</v>
      </c>
      <c r="Q19" s="133">
        <v>0</v>
      </c>
      <c r="R19" s="133">
        <v>0</v>
      </c>
      <c r="S19" s="133">
        <v>2500000</v>
      </c>
      <c r="T19" s="133">
        <v>0</v>
      </c>
      <c r="U19" s="133">
        <v>0</v>
      </c>
      <c r="V19" s="133">
        <v>0</v>
      </c>
    </row>
    <row r="20" spans="1:22" ht="18">
      <c r="A20" s="114"/>
      <c r="B20" s="114" t="s">
        <v>742</v>
      </c>
      <c r="C20" s="114"/>
      <c r="D20" s="125" t="s">
        <v>743</v>
      </c>
      <c r="E20" s="148">
        <f t="shared" si="0"/>
        <v>3175000</v>
      </c>
      <c r="F20" s="133">
        <v>2500000</v>
      </c>
      <c r="G20" s="133">
        <v>675000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48">
        <f t="shared" si="2"/>
        <v>3175000</v>
      </c>
      <c r="O20" s="133">
        <v>0</v>
      </c>
      <c r="P20" s="133">
        <v>675000</v>
      </c>
      <c r="Q20" s="133">
        <v>0</v>
      </c>
      <c r="R20" s="133">
        <v>0</v>
      </c>
      <c r="S20" s="133">
        <v>2500000</v>
      </c>
      <c r="T20" s="133">
        <v>0</v>
      </c>
      <c r="U20" s="133">
        <v>0</v>
      </c>
      <c r="V20" s="133">
        <v>0</v>
      </c>
    </row>
    <row r="21" spans="1:22" ht="30.75" customHeight="1">
      <c r="A21" s="114"/>
      <c r="B21" s="114" t="s">
        <v>744</v>
      </c>
      <c r="C21" s="114"/>
      <c r="D21" s="160" t="s">
        <v>745</v>
      </c>
      <c r="E21" s="148">
        <f t="shared" si="0"/>
        <v>15500000</v>
      </c>
      <c r="F21" s="133">
        <v>0</v>
      </c>
      <c r="G21" s="133">
        <v>0</v>
      </c>
      <c r="H21" s="133">
        <v>0</v>
      </c>
      <c r="I21" s="133">
        <v>0</v>
      </c>
      <c r="J21" s="133">
        <v>15500000</v>
      </c>
      <c r="K21" s="133">
        <v>0</v>
      </c>
      <c r="L21" s="133">
        <v>0</v>
      </c>
      <c r="M21" s="133">
        <v>0</v>
      </c>
      <c r="N21" s="148">
        <f t="shared" si="2"/>
        <v>17595500</v>
      </c>
      <c r="O21" s="133">
        <v>0</v>
      </c>
      <c r="P21" s="133">
        <v>0</v>
      </c>
      <c r="Q21" s="133">
        <v>2095500</v>
      </c>
      <c r="R21" s="133">
        <v>0</v>
      </c>
      <c r="S21" s="133">
        <v>15500000</v>
      </c>
      <c r="T21" s="133">
        <v>0</v>
      </c>
      <c r="U21" s="133">
        <v>0</v>
      </c>
      <c r="V21" s="133">
        <v>0</v>
      </c>
    </row>
    <row r="22" spans="1:22" s="158" customFormat="1" ht="18" customHeight="1">
      <c r="A22" s="151"/>
      <c r="B22" s="151" t="s">
        <v>746</v>
      </c>
      <c r="C22" s="151"/>
      <c r="D22" s="164" t="s">
        <v>747</v>
      </c>
      <c r="E22" s="129">
        <f t="shared" si="0"/>
        <v>14850000</v>
      </c>
      <c r="F22" s="161">
        <f>SUM(F23:F42)</f>
        <v>0</v>
      </c>
      <c r="G22" s="161">
        <f aca="true" t="shared" si="4" ref="G22:M22">SUM(G23:G42)</f>
        <v>0</v>
      </c>
      <c r="H22" s="161">
        <f t="shared" si="4"/>
        <v>0</v>
      </c>
      <c r="I22" s="161">
        <f t="shared" si="4"/>
        <v>0</v>
      </c>
      <c r="J22" s="161">
        <f t="shared" si="4"/>
        <v>14850000</v>
      </c>
      <c r="K22" s="161">
        <f t="shared" si="4"/>
        <v>0</v>
      </c>
      <c r="L22" s="161">
        <f t="shared" si="4"/>
        <v>0</v>
      </c>
      <c r="M22" s="161">
        <f t="shared" si="4"/>
        <v>0</v>
      </c>
      <c r="N22" s="129">
        <f t="shared" si="2"/>
        <v>19369503</v>
      </c>
      <c r="O22" s="161">
        <f>SUM(O23:O42)</f>
        <v>0</v>
      </c>
      <c r="P22" s="161">
        <f aca="true" t="shared" si="5" ref="P22:V22">SUM(P23:P42)</f>
        <v>0</v>
      </c>
      <c r="Q22" s="161">
        <f t="shared" si="5"/>
        <v>0</v>
      </c>
      <c r="R22" s="161">
        <f t="shared" si="5"/>
        <v>0</v>
      </c>
      <c r="S22" s="161">
        <f t="shared" si="5"/>
        <v>18769503</v>
      </c>
      <c r="T22" s="161">
        <f t="shared" si="5"/>
        <v>0</v>
      </c>
      <c r="U22" s="161">
        <f t="shared" si="5"/>
        <v>0</v>
      </c>
      <c r="V22" s="161">
        <f t="shared" si="5"/>
        <v>600000</v>
      </c>
    </row>
    <row r="23" spans="1:22" ht="18" customHeight="1">
      <c r="A23" s="114"/>
      <c r="B23" s="114"/>
      <c r="C23" s="114" t="s">
        <v>748</v>
      </c>
      <c r="D23" s="177" t="s">
        <v>749</v>
      </c>
      <c r="E23" s="148">
        <f t="shared" si="0"/>
        <v>10000000</v>
      </c>
      <c r="F23" s="133">
        <v>0</v>
      </c>
      <c r="G23" s="133">
        <v>0</v>
      </c>
      <c r="H23" s="133">
        <v>0</v>
      </c>
      <c r="I23" s="133">
        <v>0</v>
      </c>
      <c r="J23" s="133">
        <v>10000000</v>
      </c>
      <c r="K23" s="133">
        <v>0</v>
      </c>
      <c r="L23" s="133">
        <v>0</v>
      </c>
      <c r="M23" s="133">
        <v>0</v>
      </c>
      <c r="N23" s="148">
        <f t="shared" si="2"/>
        <v>10700000</v>
      </c>
      <c r="O23" s="133">
        <v>0</v>
      </c>
      <c r="P23" s="133">
        <v>0</v>
      </c>
      <c r="Q23" s="133">
        <v>0</v>
      </c>
      <c r="R23" s="133">
        <v>0</v>
      </c>
      <c r="S23" s="133">
        <v>10700000</v>
      </c>
      <c r="T23" s="133">
        <v>0</v>
      </c>
      <c r="U23" s="133">
        <v>0</v>
      </c>
      <c r="V23" s="133">
        <v>0</v>
      </c>
    </row>
    <row r="24" spans="1:22" ht="18" customHeight="1">
      <c r="A24" s="114"/>
      <c r="B24" s="114"/>
      <c r="C24" s="114" t="s">
        <v>750</v>
      </c>
      <c r="D24" s="125" t="s">
        <v>751</v>
      </c>
      <c r="E24" s="148">
        <f t="shared" si="0"/>
        <v>1000000</v>
      </c>
      <c r="F24" s="133">
        <v>0</v>
      </c>
      <c r="G24" s="133">
        <v>0</v>
      </c>
      <c r="H24" s="133">
        <v>0</v>
      </c>
      <c r="I24" s="133">
        <v>0</v>
      </c>
      <c r="J24" s="133">
        <v>1000000</v>
      </c>
      <c r="K24" s="133">
        <v>0</v>
      </c>
      <c r="L24" s="133">
        <v>0</v>
      </c>
      <c r="M24" s="133">
        <v>0</v>
      </c>
      <c r="N24" s="148">
        <f t="shared" si="2"/>
        <v>1000000</v>
      </c>
      <c r="O24" s="133">
        <v>0</v>
      </c>
      <c r="P24" s="133">
        <v>0</v>
      </c>
      <c r="Q24" s="133">
        <v>0</v>
      </c>
      <c r="R24" s="133">
        <v>0</v>
      </c>
      <c r="S24" s="133">
        <v>1000000</v>
      </c>
      <c r="T24" s="133">
        <v>0</v>
      </c>
      <c r="U24" s="133">
        <v>0</v>
      </c>
      <c r="V24" s="133">
        <v>0</v>
      </c>
    </row>
    <row r="25" spans="1:22" ht="18" customHeight="1">
      <c r="A25" s="114"/>
      <c r="B25" s="114"/>
      <c r="C25" s="114" t="s">
        <v>752</v>
      </c>
      <c r="D25" s="125" t="s">
        <v>753</v>
      </c>
      <c r="E25" s="148">
        <f t="shared" si="0"/>
        <v>3250000</v>
      </c>
      <c r="F25" s="133">
        <v>0</v>
      </c>
      <c r="G25" s="133">
        <v>0</v>
      </c>
      <c r="H25" s="133">
        <v>0</v>
      </c>
      <c r="I25" s="133">
        <v>0</v>
      </c>
      <c r="J25" s="133">
        <v>3250000</v>
      </c>
      <c r="K25" s="133">
        <v>0</v>
      </c>
      <c r="L25" s="133">
        <v>0</v>
      </c>
      <c r="M25" s="133">
        <v>0</v>
      </c>
      <c r="N25" s="148">
        <f t="shared" si="2"/>
        <v>3250000</v>
      </c>
      <c r="O25" s="133">
        <v>0</v>
      </c>
      <c r="P25" s="133">
        <v>0</v>
      </c>
      <c r="Q25" s="133">
        <v>0</v>
      </c>
      <c r="R25" s="133">
        <v>0</v>
      </c>
      <c r="S25" s="133">
        <v>3250000</v>
      </c>
      <c r="T25" s="133">
        <v>0</v>
      </c>
      <c r="U25" s="133">
        <v>0</v>
      </c>
      <c r="V25" s="133">
        <v>0</v>
      </c>
    </row>
    <row r="26" spans="1:22" ht="30" customHeight="1">
      <c r="A26" s="114"/>
      <c r="B26" s="114"/>
      <c r="C26" s="114" t="s">
        <v>754</v>
      </c>
      <c r="D26" s="125" t="s">
        <v>755</v>
      </c>
      <c r="E26" s="148">
        <f t="shared" si="0"/>
        <v>600000</v>
      </c>
      <c r="F26" s="133">
        <v>0</v>
      </c>
      <c r="G26" s="133">
        <v>0</v>
      </c>
      <c r="H26" s="133">
        <v>0</v>
      </c>
      <c r="I26" s="133">
        <v>0</v>
      </c>
      <c r="J26" s="133">
        <v>600000</v>
      </c>
      <c r="K26" s="133">
        <v>0</v>
      </c>
      <c r="L26" s="133">
        <v>0</v>
      </c>
      <c r="M26" s="133">
        <v>0</v>
      </c>
      <c r="N26" s="148">
        <f t="shared" si="2"/>
        <v>600000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600000</v>
      </c>
    </row>
    <row r="27" spans="1:22" ht="30" customHeight="1">
      <c r="A27" s="114"/>
      <c r="B27" s="114"/>
      <c r="C27" s="114" t="s">
        <v>756</v>
      </c>
      <c r="D27" s="125" t="s">
        <v>1064</v>
      </c>
      <c r="E27" s="148">
        <f t="shared" si="0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48">
        <f t="shared" si="2"/>
        <v>200000</v>
      </c>
      <c r="O27" s="133">
        <v>0</v>
      </c>
      <c r="P27" s="133">
        <v>0</v>
      </c>
      <c r="Q27" s="133">
        <v>0</v>
      </c>
      <c r="R27" s="133">
        <v>0</v>
      </c>
      <c r="S27" s="133">
        <v>200000</v>
      </c>
      <c r="T27" s="133">
        <v>0</v>
      </c>
      <c r="U27" s="133">
        <v>0</v>
      </c>
      <c r="V27" s="133">
        <v>0</v>
      </c>
    </row>
    <row r="28" spans="1:22" ht="30" customHeight="1">
      <c r="A28" s="114"/>
      <c r="B28" s="114"/>
      <c r="C28" s="114" t="s">
        <v>757</v>
      </c>
      <c r="D28" s="177" t="s">
        <v>1065</v>
      </c>
      <c r="E28" s="148">
        <f t="shared" si="0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48">
        <f t="shared" si="2"/>
        <v>80000</v>
      </c>
      <c r="O28" s="133">
        <v>0</v>
      </c>
      <c r="P28" s="133">
        <v>0</v>
      </c>
      <c r="Q28" s="133">
        <v>0</v>
      </c>
      <c r="R28" s="133">
        <v>0</v>
      </c>
      <c r="S28" s="133">
        <v>80000</v>
      </c>
      <c r="T28" s="133">
        <v>0</v>
      </c>
      <c r="U28" s="133">
        <v>0</v>
      </c>
      <c r="V28" s="133">
        <v>0</v>
      </c>
    </row>
    <row r="29" spans="1:22" ht="33.75" customHeight="1">
      <c r="A29" s="114"/>
      <c r="B29" s="114"/>
      <c r="C29" s="114" t="s">
        <v>758</v>
      </c>
      <c r="D29" s="177" t="s">
        <v>1066</v>
      </c>
      <c r="E29" s="148">
        <f t="shared" si="0"/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76">
        <v>0</v>
      </c>
      <c r="L29" s="133">
        <v>0</v>
      </c>
      <c r="M29" s="133">
        <v>0</v>
      </c>
      <c r="N29" s="148">
        <f t="shared" si="2"/>
        <v>534500</v>
      </c>
      <c r="O29" s="133">
        <v>0</v>
      </c>
      <c r="P29" s="133">
        <v>0</v>
      </c>
      <c r="Q29" s="133">
        <v>0</v>
      </c>
      <c r="R29" s="133">
        <v>0</v>
      </c>
      <c r="S29" s="133">
        <v>534500</v>
      </c>
      <c r="T29" s="133">
        <v>0</v>
      </c>
      <c r="U29" s="133">
        <v>0</v>
      </c>
      <c r="V29" s="133">
        <v>0</v>
      </c>
    </row>
    <row r="30" spans="1:22" ht="31.5" customHeight="1">
      <c r="A30" s="114"/>
      <c r="B30" s="114"/>
      <c r="C30" s="114" t="s">
        <v>1051</v>
      </c>
      <c r="D30" s="125" t="s">
        <v>1067</v>
      </c>
      <c r="E30" s="148">
        <f t="shared" si="0"/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48">
        <f t="shared" si="2"/>
        <v>100000</v>
      </c>
      <c r="O30" s="133">
        <v>0</v>
      </c>
      <c r="P30" s="133">
        <v>0</v>
      </c>
      <c r="Q30" s="133">
        <v>0</v>
      </c>
      <c r="R30" s="133">
        <v>0</v>
      </c>
      <c r="S30" s="133">
        <v>100000</v>
      </c>
      <c r="T30" s="133">
        <v>0</v>
      </c>
      <c r="U30" s="133">
        <v>0</v>
      </c>
      <c r="V30" s="133">
        <v>0</v>
      </c>
    </row>
    <row r="31" spans="1:22" ht="36" customHeight="1">
      <c r="A31" s="114"/>
      <c r="B31" s="114"/>
      <c r="C31" s="114" t="s">
        <v>1052</v>
      </c>
      <c r="D31" s="125" t="s">
        <v>1068</v>
      </c>
      <c r="E31" s="148">
        <f t="shared" si="0"/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48">
        <f t="shared" si="2"/>
        <v>200000</v>
      </c>
      <c r="O31" s="133">
        <v>0</v>
      </c>
      <c r="P31" s="133">
        <v>0</v>
      </c>
      <c r="Q31" s="133">
        <v>0</v>
      </c>
      <c r="R31" s="133">
        <v>0</v>
      </c>
      <c r="S31" s="133">
        <v>200000</v>
      </c>
      <c r="T31" s="133">
        <v>0</v>
      </c>
      <c r="U31" s="133">
        <v>0</v>
      </c>
      <c r="V31" s="133">
        <v>0</v>
      </c>
    </row>
    <row r="32" spans="1:22" ht="21" customHeight="1">
      <c r="A32" s="114"/>
      <c r="B32" s="114"/>
      <c r="C32" s="114" t="s">
        <v>1053</v>
      </c>
      <c r="D32" s="125" t="s">
        <v>1069</v>
      </c>
      <c r="E32" s="148">
        <f t="shared" si="0"/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8">
        <f t="shared" si="2"/>
        <v>50000</v>
      </c>
      <c r="O32" s="133">
        <v>0</v>
      </c>
      <c r="P32" s="133">
        <v>0</v>
      </c>
      <c r="Q32" s="133">
        <v>0</v>
      </c>
      <c r="R32" s="133">
        <v>0</v>
      </c>
      <c r="S32" s="133">
        <v>50000</v>
      </c>
      <c r="T32" s="133">
        <v>0</v>
      </c>
      <c r="U32" s="133">
        <v>0</v>
      </c>
      <c r="V32" s="133">
        <v>0</v>
      </c>
    </row>
    <row r="33" spans="1:22" ht="39" customHeight="1">
      <c r="A33" s="114"/>
      <c r="B33" s="114"/>
      <c r="C33" s="114" t="s">
        <v>1054</v>
      </c>
      <c r="D33" s="125" t="s">
        <v>1086</v>
      </c>
      <c r="E33" s="148">
        <f t="shared" si="0"/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48">
        <f t="shared" si="2"/>
        <v>50000</v>
      </c>
      <c r="O33" s="133">
        <v>0</v>
      </c>
      <c r="P33" s="133">
        <v>0</v>
      </c>
      <c r="Q33" s="133">
        <v>0</v>
      </c>
      <c r="R33" s="133">
        <v>0</v>
      </c>
      <c r="S33" s="133">
        <v>50000</v>
      </c>
      <c r="T33" s="133">
        <v>0</v>
      </c>
      <c r="U33" s="133">
        <v>0</v>
      </c>
      <c r="V33" s="133">
        <v>0</v>
      </c>
    </row>
    <row r="34" spans="1:22" ht="34.5" customHeight="1">
      <c r="A34" s="114"/>
      <c r="B34" s="114"/>
      <c r="C34" s="114" t="s">
        <v>1055</v>
      </c>
      <c r="D34" s="125" t="s">
        <v>1070</v>
      </c>
      <c r="E34" s="148">
        <f t="shared" si="0"/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48">
        <f t="shared" si="2"/>
        <v>60000</v>
      </c>
      <c r="O34" s="133">
        <v>0</v>
      </c>
      <c r="P34" s="133">
        <v>0</v>
      </c>
      <c r="Q34" s="133">
        <v>0</v>
      </c>
      <c r="R34" s="133">
        <v>0</v>
      </c>
      <c r="S34" s="133">
        <v>60000</v>
      </c>
      <c r="T34" s="133">
        <v>0</v>
      </c>
      <c r="U34" s="133">
        <v>0</v>
      </c>
      <c r="V34" s="133">
        <v>0</v>
      </c>
    </row>
    <row r="35" spans="1:22" ht="21" customHeight="1">
      <c r="A35" s="114"/>
      <c r="B35" s="114"/>
      <c r="C35" s="114" t="s">
        <v>1056</v>
      </c>
      <c r="D35" s="125" t="s">
        <v>1071</v>
      </c>
      <c r="E35" s="148">
        <f t="shared" si="0"/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48">
        <f t="shared" si="2"/>
        <v>250000</v>
      </c>
      <c r="O35" s="133">
        <v>0</v>
      </c>
      <c r="P35" s="133">
        <v>0</v>
      </c>
      <c r="Q35" s="133">
        <v>0</v>
      </c>
      <c r="R35" s="133">
        <v>0</v>
      </c>
      <c r="S35" s="133">
        <v>250000</v>
      </c>
      <c r="T35" s="133">
        <v>0</v>
      </c>
      <c r="U35" s="133">
        <v>0</v>
      </c>
      <c r="V35" s="133">
        <v>0</v>
      </c>
    </row>
    <row r="36" spans="1:22" ht="18.75" customHeight="1">
      <c r="A36" s="114"/>
      <c r="B36" s="114"/>
      <c r="C36" s="114" t="s">
        <v>1057</v>
      </c>
      <c r="D36" s="125" t="s">
        <v>1072</v>
      </c>
      <c r="E36" s="148">
        <f t="shared" si="0"/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48">
        <f t="shared" si="2"/>
        <v>80000</v>
      </c>
      <c r="O36" s="133">
        <v>0</v>
      </c>
      <c r="P36" s="133">
        <v>0</v>
      </c>
      <c r="Q36" s="133">
        <v>0</v>
      </c>
      <c r="R36" s="133">
        <v>0</v>
      </c>
      <c r="S36" s="133">
        <v>80000</v>
      </c>
      <c r="T36" s="133">
        <v>0</v>
      </c>
      <c r="U36" s="133">
        <v>0</v>
      </c>
      <c r="V36" s="133">
        <v>0</v>
      </c>
    </row>
    <row r="37" spans="1:22" ht="33.75" customHeight="1">
      <c r="A37" s="114"/>
      <c r="B37" s="114"/>
      <c r="C37" s="114" t="s">
        <v>1058</v>
      </c>
      <c r="D37" s="125" t="s">
        <v>1073</v>
      </c>
      <c r="E37" s="148">
        <f t="shared" si="0"/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48">
        <f t="shared" si="2"/>
        <v>100000</v>
      </c>
      <c r="O37" s="133">
        <v>0</v>
      </c>
      <c r="P37" s="133">
        <v>0</v>
      </c>
      <c r="Q37" s="133">
        <v>0</v>
      </c>
      <c r="R37" s="133">
        <v>0</v>
      </c>
      <c r="S37" s="133">
        <v>100000</v>
      </c>
      <c r="T37" s="133">
        <v>0</v>
      </c>
      <c r="U37" s="133">
        <v>0</v>
      </c>
      <c r="V37" s="133">
        <v>0</v>
      </c>
    </row>
    <row r="38" spans="1:22" ht="31.5" customHeight="1">
      <c r="A38" s="114"/>
      <c r="B38" s="114"/>
      <c r="C38" s="114" t="s">
        <v>1059</v>
      </c>
      <c r="D38" s="125" t="s">
        <v>1085</v>
      </c>
      <c r="E38" s="148">
        <f t="shared" si="0"/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48">
        <f t="shared" si="2"/>
        <v>80000</v>
      </c>
      <c r="O38" s="133">
        <v>0</v>
      </c>
      <c r="P38" s="133">
        <v>0</v>
      </c>
      <c r="Q38" s="133">
        <v>0</v>
      </c>
      <c r="R38" s="133">
        <v>0</v>
      </c>
      <c r="S38" s="133">
        <v>80000</v>
      </c>
      <c r="T38" s="133">
        <v>0</v>
      </c>
      <c r="U38" s="133">
        <v>0</v>
      </c>
      <c r="V38" s="133">
        <v>0</v>
      </c>
    </row>
    <row r="39" spans="1:22" ht="21" customHeight="1">
      <c r="A39" s="114"/>
      <c r="B39" s="114"/>
      <c r="C39" s="114" t="s">
        <v>1060</v>
      </c>
      <c r="D39" s="125" t="s">
        <v>1074</v>
      </c>
      <c r="E39" s="148">
        <f t="shared" si="0"/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48">
        <f t="shared" si="2"/>
        <v>100000</v>
      </c>
      <c r="O39" s="133">
        <v>0</v>
      </c>
      <c r="P39" s="133">
        <v>0</v>
      </c>
      <c r="Q39" s="133">
        <v>0</v>
      </c>
      <c r="R39" s="133">
        <v>0</v>
      </c>
      <c r="S39" s="133">
        <v>100000</v>
      </c>
      <c r="T39" s="133">
        <v>0</v>
      </c>
      <c r="U39" s="133">
        <v>0</v>
      </c>
      <c r="V39" s="133">
        <v>0</v>
      </c>
    </row>
    <row r="40" spans="1:22" ht="36" customHeight="1">
      <c r="A40" s="114"/>
      <c r="B40" s="114"/>
      <c r="C40" s="114" t="s">
        <v>1061</v>
      </c>
      <c r="D40" s="125" t="s">
        <v>1075</v>
      </c>
      <c r="E40" s="148">
        <f t="shared" si="0"/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48">
        <f t="shared" si="2"/>
        <v>100000</v>
      </c>
      <c r="O40" s="133">
        <v>0</v>
      </c>
      <c r="P40" s="133">
        <v>0</v>
      </c>
      <c r="Q40" s="133">
        <v>0</v>
      </c>
      <c r="R40" s="133">
        <v>0</v>
      </c>
      <c r="S40" s="133">
        <v>100000</v>
      </c>
      <c r="T40" s="133">
        <v>0</v>
      </c>
      <c r="U40" s="133">
        <v>0</v>
      </c>
      <c r="V40" s="133">
        <v>0</v>
      </c>
    </row>
    <row r="41" spans="1:22" ht="30" customHeight="1">
      <c r="A41" s="114"/>
      <c r="B41" s="114"/>
      <c r="C41" s="114" t="s">
        <v>1062</v>
      </c>
      <c r="D41" s="177" t="s">
        <v>1084</v>
      </c>
      <c r="E41" s="148">
        <f t="shared" si="0"/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48">
        <f t="shared" si="2"/>
        <v>1435003</v>
      </c>
      <c r="O41" s="133">
        <v>0</v>
      </c>
      <c r="P41" s="133">
        <v>0</v>
      </c>
      <c r="Q41" s="133">
        <v>0</v>
      </c>
      <c r="R41" s="133">
        <v>0</v>
      </c>
      <c r="S41" s="133">
        <v>1435003</v>
      </c>
      <c r="T41" s="133">
        <v>0</v>
      </c>
      <c r="U41" s="133">
        <v>0</v>
      </c>
      <c r="V41" s="133">
        <v>0</v>
      </c>
    </row>
    <row r="42" spans="1:22" ht="30" customHeight="1">
      <c r="A42" s="114"/>
      <c r="B42" s="114"/>
      <c r="C42" s="114" t="s">
        <v>1063</v>
      </c>
      <c r="D42" s="125" t="s">
        <v>1083</v>
      </c>
      <c r="E42" s="148">
        <f t="shared" si="0"/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48">
        <f t="shared" si="2"/>
        <v>400000</v>
      </c>
      <c r="O42" s="133">
        <v>0</v>
      </c>
      <c r="P42" s="133">
        <v>0</v>
      </c>
      <c r="Q42" s="133">
        <v>0</v>
      </c>
      <c r="R42" s="133">
        <v>0</v>
      </c>
      <c r="S42" s="133">
        <v>400000</v>
      </c>
      <c r="T42" s="133">
        <v>0</v>
      </c>
      <c r="U42" s="133">
        <v>0</v>
      </c>
      <c r="V42" s="133">
        <v>0</v>
      </c>
    </row>
    <row r="43" spans="1:22" ht="45">
      <c r="A43" s="114"/>
      <c r="B43" s="114" t="s">
        <v>759</v>
      </c>
      <c r="C43" s="114"/>
      <c r="D43" s="125" t="s">
        <v>760</v>
      </c>
      <c r="E43" s="148">
        <f>SUM(F43:M43)</f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48">
        <f>SUM(O43:V43)</f>
        <v>6000000</v>
      </c>
      <c r="O43" s="133">
        <v>0</v>
      </c>
      <c r="P43" s="133">
        <v>0</v>
      </c>
      <c r="Q43" s="133">
        <v>0</v>
      </c>
      <c r="R43" s="133">
        <v>0</v>
      </c>
      <c r="S43" s="133">
        <v>6000000</v>
      </c>
      <c r="T43" s="133">
        <v>0</v>
      </c>
      <c r="U43" s="133">
        <v>0</v>
      </c>
      <c r="V43" s="133">
        <v>0</v>
      </c>
    </row>
    <row r="44" spans="1:22" ht="18">
      <c r="A44" s="114" t="s">
        <v>101</v>
      </c>
      <c r="B44" s="114"/>
      <c r="C44" s="114"/>
      <c r="D44" s="115" t="s">
        <v>36</v>
      </c>
      <c r="E44" s="129">
        <f>SUM(F44:M44)</f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29">
        <f>SUM(O44:V44)</f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</row>
    <row r="45" spans="1:22" ht="18">
      <c r="A45" s="114" t="s">
        <v>102</v>
      </c>
      <c r="B45" s="114"/>
      <c r="C45" s="114"/>
      <c r="D45" s="115" t="s">
        <v>38</v>
      </c>
      <c r="E45" s="129">
        <f>SUM(F45:M45)</f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29">
        <v>0</v>
      </c>
      <c r="N45" s="129">
        <f>SUM(O45:V45)</f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29">
        <v>0</v>
      </c>
    </row>
    <row r="46" spans="1:22" ht="18" customHeight="1">
      <c r="A46" s="222" t="s">
        <v>364</v>
      </c>
      <c r="B46" s="222"/>
      <c r="C46" s="222"/>
      <c r="D46" s="222"/>
      <c r="E46" s="129">
        <f>SUM(F46:M46)</f>
        <v>75799000</v>
      </c>
      <c r="F46" s="130">
        <f aca="true" t="shared" si="6" ref="F46:M46">F10+F44+F45</f>
        <v>2850000</v>
      </c>
      <c r="G46" s="130">
        <f t="shared" si="6"/>
        <v>775000</v>
      </c>
      <c r="H46" s="130">
        <f t="shared" si="6"/>
        <v>28174000</v>
      </c>
      <c r="I46" s="130">
        <f t="shared" si="6"/>
        <v>0</v>
      </c>
      <c r="J46" s="130">
        <f t="shared" si="6"/>
        <v>44000000</v>
      </c>
      <c r="K46" s="130">
        <f t="shared" si="6"/>
        <v>0</v>
      </c>
      <c r="L46" s="130">
        <f t="shared" si="6"/>
        <v>0</v>
      </c>
      <c r="M46" s="130">
        <f t="shared" si="6"/>
        <v>0</v>
      </c>
      <c r="N46" s="129">
        <f>SUM(O46:V46)</f>
        <v>94431644</v>
      </c>
      <c r="O46" s="130">
        <f aca="true" t="shared" si="7" ref="O46:V46">O10+O44+O45</f>
        <v>1023349</v>
      </c>
      <c r="P46" s="130">
        <f t="shared" si="7"/>
        <v>975415</v>
      </c>
      <c r="Q46" s="130">
        <f t="shared" si="7"/>
        <v>32413377</v>
      </c>
      <c r="R46" s="130">
        <f t="shared" si="7"/>
        <v>0</v>
      </c>
      <c r="S46" s="130">
        <f t="shared" si="7"/>
        <v>59419503</v>
      </c>
      <c r="T46" s="130">
        <f t="shared" si="7"/>
        <v>0</v>
      </c>
      <c r="U46" s="130">
        <f t="shared" si="7"/>
        <v>0</v>
      </c>
      <c r="V46" s="130">
        <f t="shared" si="7"/>
        <v>600000</v>
      </c>
    </row>
  </sheetData>
  <sheetProtection selectLockedCells="1" selectUnlockedCells="1"/>
  <mergeCells count="17">
    <mergeCell ref="A1:V1"/>
    <mergeCell ref="A3:V3"/>
    <mergeCell ref="A4:V4"/>
    <mergeCell ref="A7:A9"/>
    <mergeCell ref="B7:B9"/>
    <mergeCell ref="C7:C9"/>
    <mergeCell ref="D7:D9"/>
    <mergeCell ref="E7:E9"/>
    <mergeCell ref="F7:M7"/>
    <mergeCell ref="A46:D46"/>
    <mergeCell ref="A2:V2"/>
    <mergeCell ref="N7:N9"/>
    <mergeCell ref="O7:V7"/>
    <mergeCell ref="F8:J8"/>
    <mergeCell ref="K8:M8"/>
    <mergeCell ref="O8:S8"/>
    <mergeCell ref="T8:V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45"/>
  <sheetViews>
    <sheetView view="pageBreakPreview" zoomScale="74" zoomScaleNormal="71" zoomScaleSheetLayoutView="74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21.28125" style="0" customWidth="1"/>
    <col min="6" max="7" width="14.57421875" style="0" customWidth="1"/>
    <col min="8" max="8" width="15.8515625" style="0" customWidth="1"/>
    <col min="9" max="9" width="14.57421875" style="0" customWidth="1"/>
    <col min="10" max="10" width="21.140625" style="0" customWidth="1"/>
    <col min="11" max="11" width="15.8515625" style="0" customWidth="1"/>
    <col min="12" max="12" width="14.57421875" style="0" customWidth="1"/>
    <col min="13" max="13" width="18.7109375" style="0" customWidth="1"/>
    <col min="14" max="14" width="21.28125" style="0" customWidth="1"/>
    <col min="15" max="15" width="13.8515625" style="0" customWidth="1"/>
    <col min="16" max="16" width="17.421875" style="0" customWidth="1"/>
    <col min="17" max="17" width="15.8515625" style="0" customWidth="1"/>
    <col min="18" max="18" width="13.8515625" style="0" customWidth="1"/>
    <col min="19" max="19" width="21.28125" style="0" customWidth="1"/>
    <col min="20" max="20" width="15.28125" style="0" customWidth="1"/>
    <col min="21" max="21" width="13.8515625" style="0" customWidth="1"/>
    <col min="22" max="22" width="18.7109375" style="0" customWidth="1"/>
  </cols>
  <sheetData>
    <row r="1" spans="1:22" ht="18">
      <c r="A1" s="230" t="s">
        <v>1143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18">
      <c r="A2" s="229" t="s">
        <v>1044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8" customHeight="1">
      <c r="A3" s="231" t="s">
        <v>761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ht="18">
      <c r="A4" s="232" t="s">
        <v>762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9"/>
      <c r="M5" s="127"/>
      <c r="V5" s="127" t="s">
        <v>1</v>
      </c>
    </row>
    <row r="6" spans="1:22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11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  <c r="V6" s="111" t="s">
        <v>182</v>
      </c>
    </row>
    <row r="7" spans="1:22" ht="12.75" customHeight="1">
      <c r="A7" s="233" t="s">
        <v>15</v>
      </c>
      <c r="B7" s="233" t="s">
        <v>186</v>
      </c>
      <c r="C7" s="233" t="s">
        <v>595</v>
      </c>
      <c r="D7" s="228" t="s">
        <v>16</v>
      </c>
      <c r="E7" s="228" t="s">
        <v>17</v>
      </c>
      <c r="F7" s="219" t="s">
        <v>18</v>
      </c>
      <c r="G7" s="219"/>
      <c r="H7" s="219"/>
      <c r="I7" s="219"/>
      <c r="J7" s="219"/>
      <c r="K7" s="219"/>
      <c r="L7" s="219"/>
      <c r="M7" s="219"/>
      <c r="N7" s="228" t="s">
        <v>19</v>
      </c>
      <c r="O7" s="219" t="s">
        <v>20</v>
      </c>
      <c r="P7" s="219"/>
      <c r="Q7" s="219"/>
      <c r="R7" s="219"/>
      <c r="S7" s="219"/>
      <c r="T7" s="219"/>
      <c r="U7" s="219"/>
      <c r="V7" s="219"/>
    </row>
    <row r="8" spans="1:22" ht="12.75" customHeight="1">
      <c r="A8" s="233"/>
      <c r="B8" s="233"/>
      <c r="C8" s="233"/>
      <c r="D8" s="228"/>
      <c r="E8" s="228"/>
      <c r="F8" s="220" t="s">
        <v>21</v>
      </c>
      <c r="G8" s="220"/>
      <c r="H8" s="220"/>
      <c r="I8" s="220"/>
      <c r="J8" s="220"/>
      <c r="K8" s="220" t="s">
        <v>22</v>
      </c>
      <c r="L8" s="220"/>
      <c r="M8" s="220"/>
      <c r="N8" s="228"/>
      <c r="O8" s="220" t="s">
        <v>21</v>
      </c>
      <c r="P8" s="220"/>
      <c r="Q8" s="220"/>
      <c r="R8" s="220"/>
      <c r="S8" s="220"/>
      <c r="T8" s="220" t="s">
        <v>22</v>
      </c>
      <c r="U8" s="220"/>
      <c r="V8" s="220"/>
    </row>
    <row r="9" spans="1:22" ht="68.25" customHeight="1">
      <c r="A9" s="233"/>
      <c r="B9" s="233"/>
      <c r="C9" s="233"/>
      <c r="D9" s="228"/>
      <c r="E9" s="228"/>
      <c r="F9" s="112" t="s">
        <v>23</v>
      </c>
      <c r="G9" s="112" t="s">
        <v>24</v>
      </c>
      <c r="H9" s="112" t="s">
        <v>25</v>
      </c>
      <c r="I9" s="112" t="s">
        <v>26</v>
      </c>
      <c r="J9" s="112" t="s">
        <v>27</v>
      </c>
      <c r="K9" s="112" t="s">
        <v>28</v>
      </c>
      <c r="L9" s="112" t="s">
        <v>29</v>
      </c>
      <c r="M9" s="112" t="s">
        <v>30</v>
      </c>
      <c r="N9" s="228"/>
      <c r="O9" s="112" t="s">
        <v>23</v>
      </c>
      <c r="P9" s="112" t="s">
        <v>24</v>
      </c>
      <c r="Q9" s="112" t="s">
        <v>25</v>
      </c>
      <c r="R9" s="112" t="s">
        <v>26</v>
      </c>
      <c r="S9" s="112" t="s">
        <v>27</v>
      </c>
      <c r="T9" s="112" t="s">
        <v>28</v>
      </c>
      <c r="U9" s="112" t="s">
        <v>29</v>
      </c>
      <c r="V9" s="112" t="s">
        <v>30</v>
      </c>
    </row>
    <row r="10" spans="1:22" ht="18">
      <c r="A10" s="114" t="s">
        <v>105</v>
      </c>
      <c r="B10" s="114"/>
      <c r="C10" s="114"/>
      <c r="D10" s="115" t="s">
        <v>34</v>
      </c>
      <c r="E10" s="129">
        <f aca="true" t="shared" si="0" ref="E10:E45">SUM(F10:M10)</f>
        <v>1734458000</v>
      </c>
      <c r="F10" s="130">
        <f aca="true" t="shared" si="1" ref="F10:M10">F11</f>
        <v>0</v>
      </c>
      <c r="G10" s="130">
        <f t="shared" si="1"/>
        <v>0</v>
      </c>
      <c r="H10" s="130">
        <f t="shared" si="1"/>
        <v>0</v>
      </c>
      <c r="I10" s="130">
        <f t="shared" si="1"/>
        <v>0</v>
      </c>
      <c r="J10" s="130">
        <f t="shared" si="1"/>
        <v>1604000000</v>
      </c>
      <c r="K10" s="130">
        <f t="shared" si="1"/>
        <v>1450000</v>
      </c>
      <c r="L10" s="130">
        <f t="shared" si="1"/>
        <v>0</v>
      </c>
      <c r="M10" s="130">
        <f t="shared" si="1"/>
        <v>129008000</v>
      </c>
      <c r="N10" s="129">
        <f aca="true" t="shared" si="2" ref="N10:N45">SUM(O10:V10)</f>
        <v>1776696318</v>
      </c>
      <c r="O10" s="130">
        <f aca="true" t="shared" si="3" ref="O10:V10">O11</f>
        <v>0</v>
      </c>
      <c r="P10" s="130">
        <f t="shared" si="3"/>
        <v>0</v>
      </c>
      <c r="Q10" s="130">
        <f t="shared" si="3"/>
        <v>0</v>
      </c>
      <c r="R10" s="130">
        <f t="shared" si="3"/>
        <v>0</v>
      </c>
      <c r="S10" s="130">
        <f t="shared" si="3"/>
        <v>1612843318</v>
      </c>
      <c r="T10" s="130">
        <f t="shared" si="3"/>
        <v>4845000</v>
      </c>
      <c r="U10" s="130">
        <f t="shared" si="3"/>
        <v>0</v>
      </c>
      <c r="V10" s="130">
        <f t="shared" si="3"/>
        <v>159008000</v>
      </c>
    </row>
    <row r="11" spans="1:22" ht="30">
      <c r="A11" s="114"/>
      <c r="B11" s="114" t="s">
        <v>763</v>
      </c>
      <c r="C11" s="114"/>
      <c r="D11" s="125" t="s">
        <v>764</v>
      </c>
      <c r="E11" s="129">
        <f t="shared" si="0"/>
        <v>1734458000</v>
      </c>
      <c r="F11" s="161">
        <f aca="true" t="shared" si="4" ref="F11:M11">SUM(F12:F22)</f>
        <v>0</v>
      </c>
      <c r="G11" s="161">
        <f t="shared" si="4"/>
        <v>0</v>
      </c>
      <c r="H11" s="161">
        <f t="shared" si="4"/>
        <v>0</v>
      </c>
      <c r="I11" s="161">
        <f t="shared" si="4"/>
        <v>0</v>
      </c>
      <c r="J11" s="161">
        <f t="shared" si="4"/>
        <v>1604000000</v>
      </c>
      <c r="K11" s="161">
        <f t="shared" si="4"/>
        <v>1450000</v>
      </c>
      <c r="L11" s="161">
        <f t="shared" si="4"/>
        <v>0</v>
      </c>
      <c r="M11" s="161">
        <f t="shared" si="4"/>
        <v>129008000</v>
      </c>
      <c r="N11" s="129">
        <f t="shared" si="2"/>
        <v>1776696318</v>
      </c>
      <c r="O11" s="161">
        <f aca="true" t="shared" si="5" ref="O11:V11">SUM(O12:O22)</f>
        <v>0</v>
      </c>
      <c r="P11" s="161">
        <f t="shared" si="5"/>
        <v>0</v>
      </c>
      <c r="Q11" s="161">
        <f t="shared" si="5"/>
        <v>0</v>
      </c>
      <c r="R11" s="161">
        <f t="shared" si="5"/>
        <v>0</v>
      </c>
      <c r="S11" s="161">
        <f t="shared" si="5"/>
        <v>1612843318</v>
      </c>
      <c r="T11" s="161">
        <f t="shared" si="5"/>
        <v>4845000</v>
      </c>
      <c r="U11" s="161">
        <f t="shared" si="5"/>
        <v>0</v>
      </c>
      <c r="V11" s="161">
        <f t="shared" si="5"/>
        <v>159008000</v>
      </c>
    </row>
    <row r="12" spans="1:22" ht="18">
      <c r="A12" s="114"/>
      <c r="B12" s="114"/>
      <c r="C12" s="114" t="s">
        <v>765</v>
      </c>
      <c r="D12" s="125" t="s">
        <v>766</v>
      </c>
      <c r="E12" s="148">
        <f t="shared" si="0"/>
        <v>157000000</v>
      </c>
      <c r="F12" s="133">
        <v>0</v>
      </c>
      <c r="G12" s="133">
        <v>0</v>
      </c>
      <c r="H12" s="133">
        <v>0</v>
      </c>
      <c r="I12" s="133">
        <v>0</v>
      </c>
      <c r="J12" s="133">
        <v>127000000</v>
      </c>
      <c r="K12" s="133">
        <v>0</v>
      </c>
      <c r="L12" s="133">
        <v>0</v>
      </c>
      <c r="M12" s="133">
        <v>30000000</v>
      </c>
      <c r="N12" s="148">
        <f t="shared" si="2"/>
        <v>157000000</v>
      </c>
      <c r="O12" s="133">
        <v>0</v>
      </c>
      <c r="P12" s="133">
        <v>0</v>
      </c>
      <c r="Q12" s="133">
        <v>0</v>
      </c>
      <c r="R12" s="133">
        <v>0</v>
      </c>
      <c r="S12" s="133">
        <v>127000000</v>
      </c>
      <c r="T12" s="133">
        <v>0</v>
      </c>
      <c r="U12" s="133">
        <v>0</v>
      </c>
      <c r="V12" s="133">
        <v>30000000</v>
      </c>
    </row>
    <row r="13" spans="1:22" ht="18">
      <c r="A13" s="114"/>
      <c r="B13" s="114"/>
      <c r="C13" s="114" t="s">
        <v>767</v>
      </c>
      <c r="D13" s="125" t="s">
        <v>768</v>
      </c>
      <c r="E13" s="148">
        <f t="shared" si="0"/>
        <v>9450000</v>
      </c>
      <c r="F13" s="133">
        <v>0</v>
      </c>
      <c r="G13" s="133">
        <v>0</v>
      </c>
      <c r="H13" s="133">
        <v>0</v>
      </c>
      <c r="I13" s="133">
        <v>0</v>
      </c>
      <c r="J13" s="133">
        <v>8000000</v>
      </c>
      <c r="K13" s="133">
        <v>1450000</v>
      </c>
      <c r="L13" s="133">
        <v>0</v>
      </c>
      <c r="M13" s="133">
        <v>0</v>
      </c>
      <c r="N13" s="148">
        <f t="shared" si="2"/>
        <v>9450000</v>
      </c>
      <c r="O13" s="133">
        <v>0</v>
      </c>
      <c r="P13" s="133">
        <v>0</v>
      </c>
      <c r="Q13" s="133">
        <v>0</v>
      </c>
      <c r="R13" s="133">
        <v>0</v>
      </c>
      <c r="S13" s="133">
        <v>8000000</v>
      </c>
      <c r="T13" s="133">
        <v>1450000</v>
      </c>
      <c r="U13" s="133">
        <v>0</v>
      </c>
      <c r="V13" s="133">
        <v>0</v>
      </c>
    </row>
    <row r="14" spans="1:22" ht="18">
      <c r="A14" s="114"/>
      <c r="B14" s="114"/>
      <c r="C14" s="114" t="s">
        <v>769</v>
      </c>
      <c r="D14" s="125" t="s">
        <v>770</v>
      </c>
      <c r="E14" s="148">
        <f t="shared" si="0"/>
        <v>50000000</v>
      </c>
      <c r="F14" s="133">
        <v>0</v>
      </c>
      <c r="G14" s="133">
        <v>0</v>
      </c>
      <c r="H14" s="133">
        <v>0</v>
      </c>
      <c r="I14" s="133">
        <v>0</v>
      </c>
      <c r="J14" s="133">
        <v>49000000</v>
      </c>
      <c r="K14" s="133">
        <v>0</v>
      </c>
      <c r="L14" s="133">
        <v>0</v>
      </c>
      <c r="M14" s="133">
        <v>1000000</v>
      </c>
      <c r="N14" s="148">
        <f t="shared" si="2"/>
        <v>50395000</v>
      </c>
      <c r="O14" s="133">
        <v>0</v>
      </c>
      <c r="P14" s="133">
        <v>0</v>
      </c>
      <c r="Q14" s="133">
        <v>0</v>
      </c>
      <c r="R14" s="133">
        <v>0</v>
      </c>
      <c r="S14" s="133">
        <v>49000000</v>
      </c>
      <c r="T14" s="133">
        <v>395000</v>
      </c>
      <c r="U14" s="133">
        <v>0</v>
      </c>
      <c r="V14" s="133">
        <v>1000000</v>
      </c>
    </row>
    <row r="15" spans="1:22" ht="18">
      <c r="A15" s="114"/>
      <c r="B15" s="114"/>
      <c r="C15" s="114" t="s">
        <v>771</v>
      </c>
      <c r="D15" s="125" t="s">
        <v>772</v>
      </c>
      <c r="E15" s="148">
        <f t="shared" si="0"/>
        <v>516000000</v>
      </c>
      <c r="F15" s="133">
        <v>0</v>
      </c>
      <c r="G15" s="133">
        <v>0</v>
      </c>
      <c r="H15" s="133">
        <v>0</v>
      </c>
      <c r="I15" s="133">
        <v>0</v>
      </c>
      <c r="J15" s="133">
        <v>480000000</v>
      </c>
      <c r="K15" s="133">
        <v>0</v>
      </c>
      <c r="L15" s="133">
        <v>0</v>
      </c>
      <c r="M15" s="133">
        <v>36000000</v>
      </c>
      <c r="N15" s="148">
        <f t="shared" si="2"/>
        <v>546000000</v>
      </c>
      <c r="O15" s="133">
        <v>0</v>
      </c>
      <c r="P15" s="133">
        <v>0</v>
      </c>
      <c r="Q15" s="133">
        <v>0</v>
      </c>
      <c r="R15" s="133">
        <v>0</v>
      </c>
      <c r="S15" s="133">
        <v>480000000</v>
      </c>
      <c r="T15" s="133">
        <v>0</v>
      </c>
      <c r="U15" s="133">
        <v>0</v>
      </c>
      <c r="V15" s="133">
        <v>66000000</v>
      </c>
    </row>
    <row r="16" spans="1:22" ht="30">
      <c r="A16" s="114"/>
      <c r="B16" s="114"/>
      <c r="C16" s="114" t="s">
        <v>773</v>
      </c>
      <c r="D16" s="125" t="s">
        <v>774</v>
      </c>
      <c r="E16" s="148">
        <f t="shared" si="0"/>
        <v>45000000</v>
      </c>
      <c r="F16" s="133">
        <v>0</v>
      </c>
      <c r="G16" s="133">
        <v>0</v>
      </c>
      <c r="H16" s="133">
        <v>0</v>
      </c>
      <c r="I16" s="133">
        <v>0</v>
      </c>
      <c r="J16" s="133">
        <v>45000000</v>
      </c>
      <c r="K16" s="133">
        <v>0</v>
      </c>
      <c r="L16" s="133">
        <v>0</v>
      </c>
      <c r="M16" s="133">
        <v>0</v>
      </c>
      <c r="N16" s="148">
        <f t="shared" si="2"/>
        <v>45000000</v>
      </c>
      <c r="O16" s="133">
        <v>0</v>
      </c>
      <c r="P16" s="133">
        <v>0</v>
      </c>
      <c r="Q16" s="133">
        <v>0</v>
      </c>
      <c r="R16" s="133">
        <v>0</v>
      </c>
      <c r="S16" s="133">
        <v>45000000</v>
      </c>
      <c r="T16" s="133">
        <v>0</v>
      </c>
      <c r="U16" s="133">
        <v>0</v>
      </c>
      <c r="V16" s="133">
        <v>0</v>
      </c>
    </row>
    <row r="17" spans="1:22" ht="18">
      <c r="A17" s="114"/>
      <c r="B17" s="114"/>
      <c r="C17" s="114" t="s">
        <v>775</v>
      </c>
      <c r="D17" s="125" t="s">
        <v>776</v>
      </c>
      <c r="E17" s="148">
        <f t="shared" si="0"/>
        <v>122000000</v>
      </c>
      <c r="F17" s="133">
        <v>0</v>
      </c>
      <c r="G17" s="133">
        <v>0</v>
      </c>
      <c r="H17" s="133">
        <v>0</v>
      </c>
      <c r="I17" s="133">
        <v>0</v>
      </c>
      <c r="J17" s="133">
        <v>115000000</v>
      </c>
      <c r="K17" s="133">
        <v>0</v>
      </c>
      <c r="L17" s="133">
        <v>0</v>
      </c>
      <c r="M17" s="133">
        <v>7000000</v>
      </c>
      <c r="N17" s="148">
        <f t="shared" si="2"/>
        <v>122000000</v>
      </c>
      <c r="O17" s="133">
        <v>0</v>
      </c>
      <c r="P17" s="133">
        <v>0</v>
      </c>
      <c r="Q17" s="133">
        <v>0</v>
      </c>
      <c r="R17" s="133">
        <v>0</v>
      </c>
      <c r="S17" s="133">
        <v>115000000</v>
      </c>
      <c r="T17" s="133">
        <v>0</v>
      </c>
      <c r="U17" s="133">
        <v>0</v>
      </c>
      <c r="V17" s="133">
        <v>7000000</v>
      </c>
    </row>
    <row r="18" spans="1:22" ht="18">
      <c r="A18" s="114"/>
      <c r="B18" s="114"/>
      <c r="C18" s="114" t="s">
        <v>777</v>
      </c>
      <c r="D18" s="125" t="s">
        <v>778</v>
      </c>
      <c r="E18" s="148">
        <f t="shared" si="0"/>
        <v>179608000</v>
      </c>
      <c r="F18" s="133">
        <v>0</v>
      </c>
      <c r="G18" s="133">
        <v>0</v>
      </c>
      <c r="H18" s="133">
        <v>0</v>
      </c>
      <c r="I18" s="133">
        <v>0</v>
      </c>
      <c r="J18" s="133">
        <v>175000000</v>
      </c>
      <c r="K18" s="133">
        <v>0</v>
      </c>
      <c r="L18" s="133">
        <v>0</v>
      </c>
      <c r="M18" s="133">
        <v>4608000</v>
      </c>
      <c r="N18" s="148">
        <f t="shared" si="2"/>
        <v>179608000</v>
      </c>
      <c r="O18" s="133">
        <v>0</v>
      </c>
      <c r="P18" s="133">
        <v>0</v>
      </c>
      <c r="Q18" s="133">
        <v>0</v>
      </c>
      <c r="R18" s="133">
        <v>0</v>
      </c>
      <c r="S18" s="133">
        <v>175000000</v>
      </c>
      <c r="T18" s="133">
        <v>0</v>
      </c>
      <c r="U18" s="133">
        <v>0</v>
      </c>
      <c r="V18" s="133">
        <v>4608000</v>
      </c>
    </row>
    <row r="19" spans="1:22" ht="18">
      <c r="A19" s="114"/>
      <c r="B19" s="114"/>
      <c r="C19" s="114" t="s">
        <v>779</v>
      </c>
      <c r="D19" s="125" t="s">
        <v>780</v>
      </c>
      <c r="E19" s="148">
        <f t="shared" si="0"/>
        <v>395000000</v>
      </c>
      <c r="F19" s="133">
        <v>0</v>
      </c>
      <c r="G19" s="133">
        <v>0</v>
      </c>
      <c r="H19" s="133">
        <v>0</v>
      </c>
      <c r="I19" s="133">
        <v>0</v>
      </c>
      <c r="J19" s="133">
        <v>365000000</v>
      </c>
      <c r="K19" s="133">
        <v>0</v>
      </c>
      <c r="L19" s="133">
        <v>0</v>
      </c>
      <c r="M19" s="133">
        <v>30000000</v>
      </c>
      <c r="N19" s="148">
        <f t="shared" si="2"/>
        <v>395000000</v>
      </c>
      <c r="O19" s="133">
        <v>0</v>
      </c>
      <c r="P19" s="133">
        <v>0</v>
      </c>
      <c r="Q19" s="133">
        <v>0</v>
      </c>
      <c r="R19" s="133">
        <v>0</v>
      </c>
      <c r="S19" s="133">
        <v>365000000</v>
      </c>
      <c r="T19" s="133">
        <v>0</v>
      </c>
      <c r="U19" s="133">
        <v>0</v>
      </c>
      <c r="V19" s="133">
        <v>30000000</v>
      </c>
    </row>
    <row r="20" spans="1:22" ht="18">
      <c r="A20" s="114"/>
      <c r="B20" s="114"/>
      <c r="C20" s="114" t="s">
        <v>781</v>
      </c>
      <c r="D20" s="125" t="s">
        <v>782</v>
      </c>
      <c r="E20" s="148">
        <f t="shared" si="0"/>
        <v>40300000</v>
      </c>
      <c r="F20" s="133">
        <v>0</v>
      </c>
      <c r="G20" s="133">
        <v>0</v>
      </c>
      <c r="H20" s="133">
        <v>0</v>
      </c>
      <c r="I20" s="133">
        <v>0</v>
      </c>
      <c r="J20" s="133">
        <v>40000000</v>
      </c>
      <c r="K20" s="133">
        <v>0</v>
      </c>
      <c r="L20" s="133">
        <v>0</v>
      </c>
      <c r="M20" s="133">
        <v>300000</v>
      </c>
      <c r="N20" s="148">
        <f t="shared" si="2"/>
        <v>46143318</v>
      </c>
      <c r="O20" s="133">
        <v>0</v>
      </c>
      <c r="P20" s="133">
        <v>0</v>
      </c>
      <c r="Q20" s="133">
        <v>0</v>
      </c>
      <c r="R20" s="133">
        <v>0</v>
      </c>
      <c r="S20" s="133">
        <v>45843318</v>
      </c>
      <c r="T20" s="133">
        <v>0</v>
      </c>
      <c r="U20" s="133">
        <v>0</v>
      </c>
      <c r="V20" s="133">
        <v>300000</v>
      </c>
    </row>
    <row r="21" spans="1:22" ht="18">
      <c r="A21" s="114"/>
      <c r="B21" s="114"/>
      <c r="C21" s="114" t="s">
        <v>783</v>
      </c>
      <c r="D21" s="125" t="s">
        <v>784</v>
      </c>
      <c r="E21" s="148">
        <f t="shared" si="0"/>
        <v>220100000</v>
      </c>
      <c r="F21" s="133">
        <v>0</v>
      </c>
      <c r="G21" s="133">
        <v>0</v>
      </c>
      <c r="H21" s="133">
        <v>0</v>
      </c>
      <c r="I21" s="133">
        <v>0</v>
      </c>
      <c r="J21" s="133">
        <v>200000000</v>
      </c>
      <c r="K21" s="133">
        <v>0</v>
      </c>
      <c r="L21" s="133">
        <v>0</v>
      </c>
      <c r="M21" s="133">
        <v>20100000</v>
      </c>
      <c r="N21" s="148">
        <f t="shared" si="2"/>
        <v>220100000</v>
      </c>
      <c r="O21" s="133">
        <v>0</v>
      </c>
      <c r="P21" s="133">
        <v>0</v>
      </c>
      <c r="Q21" s="133">
        <v>0</v>
      </c>
      <c r="R21" s="133">
        <v>0</v>
      </c>
      <c r="S21" s="133">
        <v>200000000</v>
      </c>
      <c r="T21" s="133">
        <v>0</v>
      </c>
      <c r="U21" s="133">
        <v>0</v>
      </c>
      <c r="V21" s="133">
        <v>20100000</v>
      </c>
    </row>
    <row r="22" spans="1:22" ht="18">
      <c r="A22" s="114"/>
      <c r="B22" s="114"/>
      <c r="C22" s="114" t="s">
        <v>785</v>
      </c>
      <c r="D22" s="125" t="s">
        <v>786</v>
      </c>
      <c r="E22" s="148">
        <f t="shared" si="0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48">
        <f t="shared" si="2"/>
        <v>6000000</v>
      </c>
      <c r="O22" s="133">
        <v>0</v>
      </c>
      <c r="P22" s="133">
        <v>0</v>
      </c>
      <c r="Q22" s="133">
        <v>0</v>
      </c>
      <c r="R22" s="133">
        <v>0</v>
      </c>
      <c r="S22" s="133">
        <v>3000000</v>
      </c>
      <c r="T22" s="133">
        <v>3000000</v>
      </c>
      <c r="U22" s="133">
        <v>0</v>
      </c>
      <c r="V22" s="133">
        <v>0</v>
      </c>
    </row>
    <row r="23" spans="1:22" ht="18">
      <c r="A23" s="114" t="s">
        <v>106</v>
      </c>
      <c r="B23" s="114"/>
      <c r="C23" s="114"/>
      <c r="D23" s="115" t="s">
        <v>36</v>
      </c>
      <c r="E23" s="129">
        <f t="shared" si="0"/>
        <v>346897650</v>
      </c>
      <c r="F23" s="130">
        <f aca="true" t="shared" si="6" ref="F23:M23">F24+F30+F38</f>
        <v>0</v>
      </c>
      <c r="G23" s="130">
        <f t="shared" si="6"/>
        <v>0</v>
      </c>
      <c r="H23" s="130">
        <f t="shared" si="6"/>
        <v>13797650</v>
      </c>
      <c r="I23" s="130">
        <f t="shared" si="6"/>
        <v>0</v>
      </c>
      <c r="J23" s="130">
        <f t="shared" si="6"/>
        <v>223100000</v>
      </c>
      <c r="K23" s="130">
        <f t="shared" si="6"/>
        <v>30000000</v>
      </c>
      <c r="L23" s="130">
        <f t="shared" si="6"/>
        <v>0</v>
      </c>
      <c r="M23" s="130">
        <f t="shared" si="6"/>
        <v>80000000</v>
      </c>
      <c r="N23" s="129">
        <f t="shared" si="2"/>
        <v>406897650</v>
      </c>
      <c r="O23" s="130">
        <f aca="true" t="shared" si="7" ref="O23:V23">O24+O30+O38</f>
        <v>0</v>
      </c>
      <c r="P23" s="130">
        <f t="shared" si="7"/>
        <v>0</v>
      </c>
      <c r="Q23" s="130">
        <f t="shared" si="7"/>
        <v>13797650</v>
      </c>
      <c r="R23" s="130">
        <f t="shared" si="7"/>
        <v>0</v>
      </c>
      <c r="S23" s="130">
        <f t="shared" si="7"/>
        <v>317000000</v>
      </c>
      <c r="T23" s="130">
        <f t="shared" si="7"/>
        <v>100000</v>
      </c>
      <c r="U23" s="130">
        <f t="shared" si="7"/>
        <v>0</v>
      </c>
      <c r="V23" s="130">
        <f t="shared" si="7"/>
        <v>76000000</v>
      </c>
    </row>
    <row r="24" spans="1:22" ht="18">
      <c r="A24" s="114"/>
      <c r="B24" s="114" t="s">
        <v>787</v>
      </c>
      <c r="C24" s="114"/>
      <c r="D24" s="125" t="s">
        <v>788</v>
      </c>
      <c r="E24" s="129">
        <f t="shared" si="0"/>
        <v>150000000</v>
      </c>
      <c r="F24" s="161">
        <f aca="true" t="shared" si="8" ref="F24:M24">SUM(F25:F29)</f>
        <v>0</v>
      </c>
      <c r="G24" s="161">
        <f t="shared" si="8"/>
        <v>0</v>
      </c>
      <c r="H24" s="161">
        <f t="shared" si="8"/>
        <v>0</v>
      </c>
      <c r="I24" s="161">
        <f t="shared" si="8"/>
        <v>0</v>
      </c>
      <c r="J24" s="161">
        <f t="shared" si="8"/>
        <v>70000000</v>
      </c>
      <c r="K24" s="161">
        <f t="shared" si="8"/>
        <v>0</v>
      </c>
      <c r="L24" s="161">
        <f t="shared" si="8"/>
        <v>0</v>
      </c>
      <c r="M24" s="161">
        <f t="shared" si="8"/>
        <v>80000000</v>
      </c>
      <c r="N24" s="129">
        <f t="shared" si="2"/>
        <v>210000000</v>
      </c>
      <c r="O24" s="161">
        <f aca="true" t="shared" si="9" ref="O24:V24">SUM(O25:O29)</f>
        <v>0</v>
      </c>
      <c r="P24" s="161">
        <f t="shared" si="9"/>
        <v>0</v>
      </c>
      <c r="Q24" s="161">
        <f t="shared" si="9"/>
        <v>0</v>
      </c>
      <c r="R24" s="161">
        <f t="shared" si="9"/>
        <v>0</v>
      </c>
      <c r="S24" s="161">
        <f t="shared" si="9"/>
        <v>139900000</v>
      </c>
      <c r="T24" s="161">
        <f t="shared" si="9"/>
        <v>100000</v>
      </c>
      <c r="U24" s="161">
        <f t="shared" si="9"/>
        <v>0</v>
      </c>
      <c r="V24" s="161">
        <f t="shared" si="9"/>
        <v>70000000</v>
      </c>
    </row>
    <row r="25" spans="1:22" s="135" customFormat="1" ht="18">
      <c r="A25" s="114"/>
      <c r="B25" s="114"/>
      <c r="C25" s="114" t="s">
        <v>789</v>
      </c>
      <c r="D25" s="125" t="s">
        <v>790</v>
      </c>
      <c r="E25" s="148">
        <f t="shared" si="0"/>
        <v>40000000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40000000</v>
      </c>
      <c r="N25" s="148">
        <f t="shared" si="2"/>
        <v>40000000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40000000</v>
      </c>
    </row>
    <row r="26" spans="1:22" ht="18">
      <c r="A26" s="114"/>
      <c r="B26" s="114"/>
      <c r="C26" s="114" t="s">
        <v>791</v>
      </c>
      <c r="D26" s="125" t="s">
        <v>792</v>
      </c>
      <c r="E26" s="148">
        <f t="shared" si="0"/>
        <v>10000000</v>
      </c>
      <c r="F26" s="133">
        <v>0</v>
      </c>
      <c r="G26" s="133">
        <v>0</v>
      </c>
      <c r="H26" s="133">
        <v>0</v>
      </c>
      <c r="I26" s="133">
        <v>0</v>
      </c>
      <c r="J26" s="133">
        <v>10000000</v>
      </c>
      <c r="K26" s="133">
        <v>0</v>
      </c>
      <c r="L26" s="133">
        <v>0</v>
      </c>
      <c r="M26" s="133">
        <v>0</v>
      </c>
      <c r="N26" s="148">
        <f t="shared" si="2"/>
        <v>10000000</v>
      </c>
      <c r="O26" s="133">
        <v>0</v>
      </c>
      <c r="P26" s="133">
        <v>0</v>
      </c>
      <c r="Q26" s="133">
        <v>0</v>
      </c>
      <c r="R26" s="133">
        <v>0</v>
      </c>
      <c r="S26" s="133">
        <v>10000000</v>
      </c>
      <c r="T26" s="133">
        <v>0</v>
      </c>
      <c r="U26" s="133">
        <v>0</v>
      </c>
      <c r="V26" s="133">
        <v>0</v>
      </c>
    </row>
    <row r="27" spans="1:22" ht="18">
      <c r="A27" s="114"/>
      <c r="B27" s="114"/>
      <c r="C27" s="114" t="s">
        <v>793</v>
      </c>
      <c r="D27" s="125" t="s">
        <v>794</v>
      </c>
      <c r="E27" s="148">
        <f t="shared" si="0"/>
        <v>40000000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40000000</v>
      </c>
      <c r="N27" s="148">
        <f t="shared" si="2"/>
        <v>70000000</v>
      </c>
      <c r="O27" s="133">
        <v>0</v>
      </c>
      <c r="P27" s="133">
        <v>0</v>
      </c>
      <c r="Q27" s="133">
        <v>0</v>
      </c>
      <c r="R27" s="133">
        <v>0</v>
      </c>
      <c r="S27" s="133">
        <v>69900000</v>
      </c>
      <c r="T27" s="133">
        <v>100000</v>
      </c>
      <c r="U27" s="133">
        <v>0</v>
      </c>
      <c r="V27" s="133">
        <v>0</v>
      </c>
    </row>
    <row r="28" spans="1:22" ht="18">
      <c r="A28" s="114"/>
      <c r="B28" s="114"/>
      <c r="C28" s="114" t="s">
        <v>795</v>
      </c>
      <c r="D28" s="125" t="s">
        <v>796</v>
      </c>
      <c r="E28" s="148">
        <f t="shared" si="0"/>
        <v>30000000</v>
      </c>
      <c r="F28" s="133">
        <v>0</v>
      </c>
      <c r="G28" s="133">
        <v>0</v>
      </c>
      <c r="H28" s="133">
        <v>0</v>
      </c>
      <c r="I28" s="133">
        <v>0</v>
      </c>
      <c r="J28" s="133">
        <v>30000000</v>
      </c>
      <c r="K28" s="133">
        <v>0</v>
      </c>
      <c r="L28" s="133">
        <v>0</v>
      </c>
      <c r="M28" s="133">
        <v>0</v>
      </c>
      <c r="N28" s="148">
        <f t="shared" si="2"/>
        <v>60000000</v>
      </c>
      <c r="O28" s="133">
        <v>0</v>
      </c>
      <c r="P28" s="133">
        <v>0</v>
      </c>
      <c r="Q28" s="133">
        <v>0</v>
      </c>
      <c r="R28" s="133">
        <v>0</v>
      </c>
      <c r="S28" s="133">
        <v>30000000</v>
      </c>
      <c r="T28" s="133">
        <v>0</v>
      </c>
      <c r="U28" s="133">
        <v>0</v>
      </c>
      <c r="V28" s="133">
        <v>30000000</v>
      </c>
    </row>
    <row r="29" spans="1:22" ht="18">
      <c r="A29" s="114"/>
      <c r="B29" s="114"/>
      <c r="C29" s="114" t="s">
        <v>797</v>
      </c>
      <c r="D29" s="165" t="s">
        <v>798</v>
      </c>
      <c r="E29" s="148">
        <f t="shared" si="0"/>
        <v>30000000</v>
      </c>
      <c r="F29" s="133">
        <v>0</v>
      </c>
      <c r="G29" s="133">
        <v>0</v>
      </c>
      <c r="H29" s="133">
        <v>0</v>
      </c>
      <c r="I29" s="133">
        <v>0</v>
      </c>
      <c r="J29" s="133">
        <v>30000000</v>
      </c>
      <c r="K29" s="133">
        <v>0</v>
      </c>
      <c r="L29" s="133">
        <v>0</v>
      </c>
      <c r="M29" s="133">
        <v>0</v>
      </c>
      <c r="N29" s="148">
        <f t="shared" si="2"/>
        <v>30000000</v>
      </c>
      <c r="O29" s="133">
        <v>0</v>
      </c>
      <c r="P29" s="133">
        <v>0</v>
      </c>
      <c r="Q29" s="133">
        <v>0</v>
      </c>
      <c r="R29" s="133">
        <v>0</v>
      </c>
      <c r="S29" s="133">
        <v>30000000</v>
      </c>
      <c r="T29" s="133">
        <v>0</v>
      </c>
      <c r="U29" s="133">
        <v>0</v>
      </c>
      <c r="V29" s="133">
        <v>0</v>
      </c>
    </row>
    <row r="30" spans="1:22" ht="18">
      <c r="A30" s="114"/>
      <c r="B30" s="114" t="s">
        <v>799</v>
      </c>
      <c r="C30" s="114"/>
      <c r="D30" s="125" t="s">
        <v>800</v>
      </c>
      <c r="E30" s="129">
        <f t="shared" si="0"/>
        <v>178100000</v>
      </c>
      <c r="F30" s="161">
        <f aca="true" t="shared" si="10" ref="F30:M30">SUM(F31:F37)</f>
        <v>0</v>
      </c>
      <c r="G30" s="161">
        <f t="shared" si="10"/>
        <v>0</v>
      </c>
      <c r="H30" s="161">
        <f t="shared" si="10"/>
        <v>0</v>
      </c>
      <c r="I30" s="161">
        <f t="shared" si="10"/>
        <v>0</v>
      </c>
      <c r="J30" s="161">
        <f t="shared" si="10"/>
        <v>148100000</v>
      </c>
      <c r="K30" s="161">
        <f t="shared" si="10"/>
        <v>30000000</v>
      </c>
      <c r="L30" s="161">
        <f t="shared" si="10"/>
        <v>0</v>
      </c>
      <c r="M30" s="161">
        <f t="shared" si="10"/>
        <v>0</v>
      </c>
      <c r="N30" s="129">
        <f t="shared" si="2"/>
        <v>178100000</v>
      </c>
      <c r="O30" s="161">
        <f aca="true" t="shared" si="11" ref="O30:V30">SUM(O31:O37)</f>
        <v>0</v>
      </c>
      <c r="P30" s="161">
        <f t="shared" si="11"/>
        <v>0</v>
      </c>
      <c r="Q30" s="161">
        <f t="shared" si="11"/>
        <v>0</v>
      </c>
      <c r="R30" s="161">
        <f t="shared" si="11"/>
        <v>0</v>
      </c>
      <c r="S30" s="161">
        <f t="shared" si="11"/>
        <v>172100000</v>
      </c>
      <c r="T30" s="161">
        <f t="shared" si="11"/>
        <v>0</v>
      </c>
      <c r="U30" s="161">
        <f t="shared" si="11"/>
        <v>0</v>
      </c>
      <c r="V30" s="161">
        <f t="shared" si="11"/>
        <v>6000000</v>
      </c>
    </row>
    <row r="31" spans="1:22" ht="18">
      <c r="A31" s="114"/>
      <c r="B31" s="114"/>
      <c r="C31" s="114" t="s">
        <v>801</v>
      </c>
      <c r="D31" s="125" t="s">
        <v>802</v>
      </c>
      <c r="E31" s="148">
        <f t="shared" si="0"/>
        <v>17000000</v>
      </c>
      <c r="F31" s="133">
        <v>0</v>
      </c>
      <c r="G31" s="133">
        <v>0</v>
      </c>
      <c r="H31" s="133">
        <v>0</v>
      </c>
      <c r="I31" s="133">
        <v>0</v>
      </c>
      <c r="J31" s="133">
        <v>17000000</v>
      </c>
      <c r="K31" s="133">
        <v>0</v>
      </c>
      <c r="L31" s="133">
        <v>0</v>
      </c>
      <c r="M31" s="133">
        <v>0</v>
      </c>
      <c r="N31" s="148">
        <f t="shared" si="2"/>
        <v>17000000</v>
      </c>
      <c r="O31" s="133">
        <v>0</v>
      </c>
      <c r="P31" s="133">
        <v>0</v>
      </c>
      <c r="Q31" s="133">
        <v>0</v>
      </c>
      <c r="R31" s="133">
        <v>0</v>
      </c>
      <c r="S31" s="133">
        <v>11000000</v>
      </c>
      <c r="T31" s="133">
        <v>0</v>
      </c>
      <c r="U31" s="133">
        <v>0</v>
      </c>
      <c r="V31" s="133">
        <v>6000000</v>
      </c>
    </row>
    <row r="32" spans="1:22" ht="18">
      <c r="A32" s="114"/>
      <c r="B32" s="114"/>
      <c r="C32" s="114" t="s">
        <v>803</v>
      </c>
      <c r="D32" s="125" t="s">
        <v>804</v>
      </c>
      <c r="E32" s="148">
        <f t="shared" si="0"/>
        <v>10000000</v>
      </c>
      <c r="F32" s="133">
        <v>0</v>
      </c>
      <c r="G32" s="133">
        <v>0</v>
      </c>
      <c r="H32" s="133">
        <v>0</v>
      </c>
      <c r="I32" s="133">
        <v>0</v>
      </c>
      <c r="J32" s="133">
        <v>10000000</v>
      </c>
      <c r="K32" s="133">
        <v>0</v>
      </c>
      <c r="L32" s="133">
        <v>0</v>
      </c>
      <c r="M32" s="133">
        <v>0</v>
      </c>
      <c r="N32" s="148">
        <f t="shared" si="2"/>
        <v>10000000</v>
      </c>
      <c r="O32" s="133">
        <v>0</v>
      </c>
      <c r="P32" s="133">
        <v>0</v>
      </c>
      <c r="Q32" s="133">
        <v>0</v>
      </c>
      <c r="R32" s="133">
        <v>0</v>
      </c>
      <c r="S32" s="133">
        <v>10000000</v>
      </c>
      <c r="T32" s="133">
        <v>0</v>
      </c>
      <c r="U32" s="133">
        <v>0</v>
      </c>
      <c r="V32" s="133">
        <v>0</v>
      </c>
    </row>
    <row r="33" spans="1:22" ht="18">
      <c r="A33" s="114"/>
      <c r="B33" s="114"/>
      <c r="C33" s="114" t="s">
        <v>805</v>
      </c>
      <c r="D33" s="125" t="s">
        <v>806</v>
      </c>
      <c r="E33" s="148">
        <f t="shared" si="0"/>
        <v>35000000</v>
      </c>
      <c r="F33" s="133">
        <v>0</v>
      </c>
      <c r="G33" s="133">
        <v>0</v>
      </c>
      <c r="H33" s="133">
        <v>0</v>
      </c>
      <c r="I33" s="133">
        <v>0</v>
      </c>
      <c r="J33" s="133">
        <v>35000000</v>
      </c>
      <c r="K33" s="133">
        <v>0</v>
      </c>
      <c r="L33" s="133">
        <v>0</v>
      </c>
      <c r="M33" s="133">
        <v>0</v>
      </c>
      <c r="N33" s="148">
        <f t="shared" si="2"/>
        <v>35000000</v>
      </c>
      <c r="O33" s="133">
        <v>0</v>
      </c>
      <c r="P33" s="133">
        <v>0</v>
      </c>
      <c r="Q33" s="133">
        <v>0</v>
      </c>
      <c r="R33" s="133">
        <v>0</v>
      </c>
      <c r="S33" s="133">
        <v>35000000</v>
      </c>
      <c r="T33" s="133">
        <v>0</v>
      </c>
      <c r="U33" s="133">
        <v>0</v>
      </c>
      <c r="V33" s="133">
        <v>0</v>
      </c>
    </row>
    <row r="34" spans="1:22" ht="18">
      <c r="A34" s="114"/>
      <c r="B34" s="114"/>
      <c r="C34" s="114" t="s">
        <v>807</v>
      </c>
      <c r="D34" s="125" t="s">
        <v>808</v>
      </c>
      <c r="E34" s="148">
        <f t="shared" si="0"/>
        <v>16100000</v>
      </c>
      <c r="F34" s="133">
        <v>0</v>
      </c>
      <c r="G34" s="133">
        <v>0</v>
      </c>
      <c r="H34" s="133">
        <v>0</v>
      </c>
      <c r="I34" s="133">
        <v>0</v>
      </c>
      <c r="J34" s="133">
        <v>16100000</v>
      </c>
      <c r="K34" s="133">
        <v>0</v>
      </c>
      <c r="L34" s="133">
        <v>0</v>
      </c>
      <c r="M34" s="133">
        <v>0</v>
      </c>
      <c r="N34" s="148">
        <f t="shared" si="2"/>
        <v>16100000</v>
      </c>
      <c r="O34" s="133">
        <v>0</v>
      </c>
      <c r="P34" s="133">
        <v>0</v>
      </c>
      <c r="Q34" s="133">
        <v>0</v>
      </c>
      <c r="R34" s="133">
        <v>0</v>
      </c>
      <c r="S34" s="133">
        <v>16100000</v>
      </c>
      <c r="T34" s="133">
        <v>0</v>
      </c>
      <c r="U34" s="133">
        <v>0</v>
      </c>
      <c r="V34" s="133">
        <v>0</v>
      </c>
    </row>
    <row r="35" spans="1:22" ht="30">
      <c r="A35" s="114"/>
      <c r="B35" s="114"/>
      <c r="C35" s="114" t="s">
        <v>809</v>
      </c>
      <c r="D35" s="125" t="s">
        <v>810</v>
      </c>
      <c r="E35" s="148">
        <f t="shared" si="0"/>
        <v>10000000</v>
      </c>
      <c r="F35" s="133">
        <v>0</v>
      </c>
      <c r="G35" s="133">
        <v>0</v>
      </c>
      <c r="H35" s="133">
        <v>0</v>
      </c>
      <c r="I35" s="133">
        <v>0</v>
      </c>
      <c r="J35" s="133">
        <v>10000000</v>
      </c>
      <c r="K35" s="133">
        <v>0</v>
      </c>
      <c r="L35" s="133">
        <v>0</v>
      </c>
      <c r="M35" s="133">
        <v>0</v>
      </c>
      <c r="N35" s="148">
        <f t="shared" si="2"/>
        <v>40000000</v>
      </c>
      <c r="O35" s="133">
        <v>0</v>
      </c>
      <c r="P35" s="133">
        <v>0</v>
      </c>
      <c r="Q35" s="133">
        <v>0</v>
      </c>
      <c r="R35" s="133">
        <v>0</v>
      </c>
      <c r="S35" s="133">
        <v>40000000</v>
      </c>
      <c r="T35" s="133">
        <v>0</v>
      </c>
      <c r="U35" s="133">
        <v>0</v>
      </c>
      <c r="V35" s="133">
        <v>0</v>
      </c>
    </row>
    <row r="36" spans="1:22" ht="18">
      <c r="A36" s="114"/>
      <c r="B36" s="114"/>
      <c r="C36" s="114" t="s">
        <v>811</v>
      </c>
      <c r="D36" s="125" t="s">
        <v>812</v>
      </c>
      <c r="E36" s="148">
        <f t="shared" si="0"/>
        <v>40000000</v>
      </c>
      <c r="F36" s="133">
        <v>0</v>
      </c>
      <c r="G36" s="133">
        <v>0</v>
      </c>
      <c r="H36" s="133">
        <v>0</v>
      </c>
      <c r="I36" s="133">
        <v>0</v>
      </c>
      <c r="J36" s="133">
        <v>10000000</v>
      </c>
      <c r="K36" s="133">
        <v>30000000</v>
      </c>
      <c r="L36" s="133">
        <v>0</v>
      </c>
      <c r="M36" s="133">
        <v>0</v>
      </c>
      <c r="N36" s="148">
        <f t="shared" si="2"/>
        <v>10000000</v>
      </c>
      <c r="O36" s="133">
        <v>0</v>
      </c>
      <c r="P36" s="133">
        <v>0</v>
      </c>
      <c r="Q36" s="133">
        <v>0</v>
      </c>
      <c r="R36" s="133">
        <v>0</v>
      </c>
      <c r="S36" s="133">
        <v>10000000</v>
      </c>
      <c r="T36" s="133">
        <v>0</v>
      </c>
      <c r="U36" s="133">
        <v>0</v>
      </c>
      <c r="V36" s="133">
        <v>0</v>
      </c>
    </row>
    <row r="37" spans="1:22" ht="18">
      <c r="A37" s="114"/>
      <c r="B37" s="114"/>
      <c r="C37" s="114" t="s">
        <v>813</v>
      </c>
      <c r="D37" s="125" t="s">
        <v>814</v>
      </c>
      <c r="E37" s="148">
        <f t="shared" si="0"/>
        <v>50000000</v>
      </c>
      <c r="F37" s="133">
        <v>0</v>
      </c>
      <c r="G37" s="133">
        <v>0</v>
      </c>
      <c r="H37" s="133">
        <v>0</v>
      </c>
      <c r="I37" s="133">
        <v>0</v>
      </c>
      <c r="J37" s="133">
        <v>50000000</v>
      </c>
      <c r="K37" s="133">
        <v>0</v>
      </c>
      <c r="L37" s="133">
        <v>0</v>
      </c>
      <c r="M37" s="133">
        <v>0</v>
      </c>
      <c r="N37" s="148">
        <f t="shared" si="2"/>
        <v>50000000</v>
      </c>
      <c r="O37" s="133">
        <v>0</v>
      </c>
      <c r="P37" s="133">
        <v>0</v>
      </c>
      <c r="Q37" s="133">
        <v>0</v>
      </c>
      <c r="R37" s="133">
        <v>0</v>
      </c>
      <c r="S37" s="133">
        <v>50000000</v>
      </c>
      <c r="T37" s="133">
        <v>0</v>
      </c>
      <c r="U37" s="133">
        <v>0</v>
      </c>
      <c r="V37" s="133">
        <v>0</v>
      </c>
    </row>
    <row r="38" spans="1:22" ht="18">
      <c r="A38" s="114"/>
      <c r="B38" s="114" t="s">
        <v>815</v>
      </c>
      <c r="C38" s="114"/>
      <c r="D38" s="125" t="s">
        <v>816</v>
      </c>
      <c r="E38" s="129">
        <f t="shared" si="0"/>
        <v>18797650</v>
      </c>
      <c r="F38" s="161">
        <f aca="true" t="shared" si="12" ref="F38:M38">SUM(F39:F43)</f>
        <v>0</v>
      </c>
      <c r="G38" s="161">
        <f t="shared" si="12"/>
        <v>0</v>
      </c>
      <c r="H38" s="161">
        <f t="shared" si="12"/>
        <v>13797650</v>
      </c>
      <c r="I38" s="161">
        <f t="shared" si="12"/>
        <v>0</v>
      </c>
      <c r="J38" s="161">
        <f t="shared" si="12"/>
        <v>5000000</v>
      </c>
      <c r="K38" s="161">
        <f t="shared" si="12"/>
        <v>0</v>
      </c>
      <c r="L38" s="161">
        <f t="shared" si="12"/>
        <v>0</v>
      </c>
      <c r="M38" s="161">
        <f t="shared" si="12"/>
        <v>0</v>
      </c>
      <c r="N38" s="129">
        <f t="shared" si="2"/>
        <v>18797650</v>
      </c>
      <c r="O38" s="161">
        <f aca="true" t="shared" si="13" ref="O38:V38">SUM(O39:O43)</f>
        <v>0</v>
      </c>
      <c r="P38" s="161">
        <f t="shared" si="13"/>
        <v>0</v>
      </c>
      <c r="Q38" s="161">
        <f t="shared" si="13"/>
        <v>13797650</v>
      </c>
      <c r="R38" s="161">
        <f t="shared" si="13"/>
        <v>0</v>
      </c>
      <c r="S38" s="161">
        <f t="shared" si="13"/>
        <v>5000000</v>
      </c>
      <c r="T38" s="161">
        <f t="shared" si="13"/>
        <v>0</v>
      </c>
      <c r="U38" s="161">
        <f t="shared" si="13"/>
        <v>0</v>
      </c>
      <c r="V38" s="161">
        <f t="shared" si="13"/>
        <v>0</v>
      </c>
    </row>
    <row r="39" spans="1:22" ht="18">
      <c r="A39" s="114"/>
      <c r="B39" s="114"/>
      <c r="C39" s="114" t="s">
        <v>817</v>
      </c>
      <c r="D39" s="125" t="s">
        <v>818</v>
      </c>
      <c r="E39" s="148">
        <f t="shared" si="0"/>
        <v>5087650</v>
      </c>
      <c r="F39" s="133">
        <v>0</v>
      </c>
      <c r="G39" s="133">
        <v>0</v>
      </c>
      <c r="H39" s="133">
        <v>5087650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48">
        <f t="shared" si="2"/>
        <v>5087650</v>
      </c>
      <c r="O39" s="133">
        <v>0</v>
      </c>
      <c r="P39" s="133">
        <v>0</v>
      </c>
      <c r="Q39" s="133">
        <v>5087650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</row>
    <row r="40" spans="1:22" ht="29.25" customHeight="1">
      <c r="A40" s="114"/>
      <c r="B40" s="114"/>
      <c r="C40" s="114" t="s">
        <v>819</v>
      </c>
      <c r="D40" s="125" t="s">
        <v>820</v>
      </c>
      <c r="E40" s="148">
        <f t="shared" si="0"/>
        <v>8000000</v>
      </c>
      <c r="F40" s="133">
        <v>0</v>
      </c>
      <c r="G40" s="133">
        <v>0</v>
      </c>
      <c r="H40" s="133">
        <v>3000000</v>
      </c>
      <c r="I40" s="133">
        <v>0</v>
      </c>
      <c r="J40" s="133">
        <v>5000000</v>
      </c>
      <c r="K40" s="133">
        <v>0</v>
      </c>
      <c r="L40" s="133">
        <v>0</v>
      </c>
      <c r="M40" s="133">
        <v>0</v>
      </c>
      <c r="N40" s="148">
        <f t="shared" si="2"/>
        <v>8000000</v>
      </c>
      <c r="O40" s="133">
        <v>0</v>
      </c>
      <c r="P40" s="133">
        <v>0</v>
      </c>
      <c r="Q40" s="133">
        <v>3000000</v>
      </c>
      <c r="R40" s="133">
        <v>0</v>
      </c>
      <c r="S40" s="133">
        <v>5000000</v>
      </c>
      <c r="T40" s="133">
        <v>0</v>
      </c>
      <c r="U40" s="133">
        <v>0</v>
      </c>
      <c r="V40" s="133">
        <v>0</v>
      </c>
    </row>
    <row r="41" spans="1:22" ht="18">
      <c r="A41" s="114"/>
      <c r="B41" s="114"/>
      <c r="C41" s="114" t="s">
        <v>821</v>
      </c>
      <c r="D41" s="125" t="s">
        <v>822</v>
      </c>
      <c r="E41" s="148">
        <f t="shared" si="0"/>
        <v>5200000</v>
      </c>
      <c r="F41" s="133">
        <v>0</v>
      </c>
      <c r="G41" s="133">
        <v>0</v>
      </c>
      <c r="H41" s="133">
        <v>5200000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48">
        <f t="shared" si="2"/>
        <v>5200000</v>
      </c>
      <c r="O41" s="133">
        <v>0</v>
      </c>
      <c r="P41" s="133">
        <v>0</v>
      </c>
      <c r="Q41" s="133">
        <v>5200000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</row>
    <row r="42" spans="1:22" ht="30">
      <c r="A42" s="114"/>
      <c r="B42" s="114"/>
      <c r="C42" s="114" t="s">
        <v>823</v>
      </c>
      <c r="D42" s="125" t="s">
        <v>824</v>
      </c>
      <c r="E42" s="148">
        <f t="shared" si="0"/>
        <v>500000</v>
      </c>
      <c r="F42" s="133">
        <v>0</v>
      </c>
      <c r="G42" s="133">
        <v>0</v>
      </c>
      <c r="H42" s="133">
        <v>500000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48">
        <f t="shared" si="2"/>
        <v>500000</v>
      </c>
      <c r="O42" s="133">
        <v>0</v>
      </c>
      <c r="P42" s="133">
        <v>0</v>
      </c>
      <c r="Q42" s="133">
        <v>500000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</row>
    <row r="43" spans="1:22" ht="18">
      <c r="A43" s="114"/>
      <c r="B43" s="114"/>
      <c r="C43" s="114" t="s">
        <v>825</v>
      </c>
      <c r="D43" s="125" t="s">
        <v>826</v>
      </c>
      <c r="E43" s="148">
        <f t="shared" si="0"/>
        <v>10000</v>
      </c>
      <c r="F43" s="133">
        <v>0</v>
      </c>
      <c r="G43" s="133">
        <v>0</v>
      </c>
      <c r="H43" s="133">
        <v>10000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48">
        <f t="shared" si="2"/>
        <v>10000</v>
      </c>
      <c r="O43" s="133">
        <v>0</v>
      </c>
      <c r="P43" s="133">
        <v>0</v>
      </c>
      <c r="Q43" s="133">
        <v>10000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</row>
    <row r="44" spans="1:22" ht="18">
      <c r="A44" s="114" t="s">
        <v>107</v>
      </c>
      <c r="B44" s="114"/>
      <c r="C44" s="114"/>
      <c r="D44" s="115" t="s">
        <v>38</v>
      </c>
      <c r="E44" s="129">
        <f t="shared" si="0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29">
        <v>0</v>
      </c>
      <c r="N44" s="129">
        <f t="shared" si="2"/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29">
        <v>0</v>
      </c>
    </row>
    <row r="45" spans="1:22" ht="18" customHeight="1">
      <c r="A45" s="222" t="s">
        <v>364</v>
      </c>
      <c r="B45" s="222"/>
      <c r="C45" s="222"/>
      <c r="D45" s="222"/>
      <c r="E45" s="129">
        <f t="shared" si="0"/>
        <v>2081355650</v>
      </c>
      <c r="F45" s="130">
        <f aca="true" t="shared" si="14" ref="F45:M45">F10+F23+F44</f>
        <v>0</v>
      </c>
      <c r="G45" s="130">
        <f t="shared" si="14"/>
        <v>0</v>
      </c>
      <c r="H45" s="130">
        <f t="shared" si="14"/>
        <v>13797650</v>
      </c>
      <c r="I45" s="130">
        <f t="shared" si="14"/>
        <v>0</v>
      </c>
      <c r="J45" s="130">
        <f t="shared" si="14"/>
        <v>1827100000</v>
      </c>
      <c r="K45" s="130">
        <f t="shared" si="14"/>
        <v>31450000</v>
      </c>
      <c r="L45" s="130">
        <f t="shared" si="14"/>
        <v>0</v>
      </c>
      <c r="M45" s="130">
        <f t="shared" si="14"/>
        <v>209008000</v>
      </c>
      <c r="N45" s="129">
        <f t="shared" si="2"/>
        <v>2183593968</v>
      </c>
      <c r="O45" s="130">
        <f aca="true" t="shared" si="15" ref="O45:V45">O10+O23+O44</f>
        <v>0</v>
      </c>
      <c r="P45" s="130">
        <f t="shared" si="15"/>
        <v>0</v>
      </c>
      <c r="Q45" s="130">
        <f t="shared" si="15"/>
        <v>13797650</v>
      </c>
      <c r="R45" s="130">
        <f t="shared" si="15"/>
        <v>0</v>
      </c>
      <c r="S45" s="130">
        <f t="shared" si="15"/>
        <v>1929843318</v>
      </c>
      <c r="T45" s="130">
        <f t="shared" si="15"/>
        <v>4945000</v>
      </c>
      <c r="U45" s="130">
        <f t="shared" si="15"/>
        <v>0</v>
      </c>
      <c r="V45" s="130">
        <f t="shared" si="15"/>
        <v>235008000</v>
      </c>
    </row>
  </sheetData>
  <sheetProtection selectLockedCells="1" selectUnlockedCells="1"/>
  <mergeCells count="17">
    <mergeCell ref="A1:V1"/>
    <mergeCell ref="A3:V3"/>
    <mergeCell ref="A4:V4"/>
    <mergeCell ref="A7:A9"/>
    <mergeCell ref="B7:B9"/>
    <mergeCell ref="C7:C9"/>
    <mergeCell ref="D7:D9"/>
    <mergeCell ref="E7:E9"/>
    <mergeCell ref="F7:M7"/>
    <mergeCell ref="A45:D45"/>
    <mergeCell ref="A2:V2"/>
    <mergeCell ref="N7:N9"/>
    <mergeCell ref="O7:V7"/>
    <mergeCell ref="F8:J8"/>
    <mergeCell ref="K8:M8"/>
    <mergeCell ref="O8:S8"/>
    <mergeCell ref="T8:V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8"/>
  <sheetViews>
    <sheetView view="pageBreakPreview" zoomScale="98" zoomScaleNormal="71" zoomScaleSheetLayoutView="98" zoomScalePageLayoutView="0" workbookViewId="0" topLeftCell="A1">
      <selection activeCell="A1" sqref="A1:U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5" width="16.00390625" style="0" customWidth="1"/>
    <col min="6" max="6" width="14.57421875" style="0" customWidth="1"/>
    <col min="7" max="7" width="19.851562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20.8515625" style="0" customWidth="1"/>
    <col min="14" max="14" width="17.7109375" style="0" customWidth="1"/>
    <col min="15" max="15" width="16.57421875" style="0" customWidth="1"/>
    <col min="16" max="16" width="21.28125" style="0" customWidth="1"/>
    <col min="17" max="17" width="13.7109375" style="0" customWidth="1"/>
    <col min="18" max="18" width="21.421875" style="0" customWidth="1"/>
    <col min="19" max="19" width="16.00390625" style="0" customWidth="1"/>
    <col min="20" max="20" width="13.7109375" style="0" customWidth="1"/>
    <col min="21" max="21" width="18.00390625" style="0" customWidth="1"/>
  </cols>
  <sheetData>
    <row r="1" spans="1:21" ht="18">
      <c r="A1" s="230" t="s">
        <v>1144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827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828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97.5" customHeight="1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130</v>
      </c>
      <c r="B10" s="114"/>
      <c r="C10" s="115" t="s">
        <v>34</v>
      </c>
      <c r="D10" s="129">
        <f aca="true" t="shared" si="0" ref="D10:D38">SUM(E10:L10)</f>
        <v>3801210680</v>
      </c>
      <c r="E10" s="130">
        <f aca="true" t="shared" si="1" ref="E10:L10">SUM(E11:E35)</f>
        <v>20000000</v>
      </c>
      <c r="F10" s="130">
        <f t="shared" si="1"/>
        <v>7310000</v>
      </c>
      <c r="G10" s="130">
        <f t="shared" si="1"/>
        <v>1300886680</v>
      </c>
      <c r="H10" s="130">
        <f t="shared" si="1"/>
        <v>0</v>
      </c>
      <c r="I10" s="130">
        <f t="shared" si="1"/>
        <v>2467714000</v>
      </c>
      <c r="J10" s="130">
        <f t="shared" si="1"/>
        <v>4500000</v>
      </c>
      <c r="K10" s="130">
        <f t="shared" si="1"/>
        <v>800000</v>
      </c>
      <c r="L10" s="130">
        <f t="shared" si="1"/>
        <v>0</v>
      </c>
      <c r="M10" s="129">
        <f aca="true" t="shared" si="2" ref="M10:M38">SUM(N10:U10)</f>
        <v>4116401858</v>
      </c>
      <c r="N10" s="130">
        <f aca="true" t="shared" si="3" ref="N10:U10">SUM(N11:N35)</f>
        <v>18316482</v>
      </c>
      <c r="O10" s="130">
        <f t="shared" si="3"/>
        <v>10467262</v>
      </c>
      <c r="P10" s="130">
        <f t="shared" si="3"/>
        <v>1184855223</v>
      </c>
      <c r="Q10" s="130">
        <f t="shared" si="3"/>
        <v>0</v>
      </c>
      <c r="R10" s="130">
        <f t="shared" si="3"/>
        <v>2802762891</v>
      </c>
      <c r="S10" s="130">
        <f t="shared" si="3"/>
        <v>0</v>
      </c>
      <c r="T10" s="130">
        <f t="shared" si="3"/>
        <v>0</v>
      </c>
      <c r="U10" s="130">
        <f t="shared" si="3"/>
        <v>100000000</v>
      </c>
    </row>
    <row r="11" spans="1:21" ht="18">
      <c r="A11" s="114"/>
      <c r="B11" s="114" t="s">
        <v>829</v>
      </c>
      <c r="C11" s="160" t="s">
        <v>830</v>
      </c>
      <c r="D11" s="148">
        <f t="shared" si="0"/>
        <v>45000000</v>
      </c>
      <c r="E11" s="133">
        <v>0</v>
      </c>
      <c r="F11" s="133">
        <v>0</v>
      </c>
      <c r="G11" s="133">
        <v>45000000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48">
        <f t="shared" si="2"/>
        <v>45000000</v>
      </c>
      <c r="N11" s="133">
        <v>0</v>
      </c>
      <c r="O11" s="133">
        <v>0</v>
      </c>
      <c r="P11" s="133">
        <v>45000000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</row>
    <row r="12" spans="1:21" ht="18">
      <c r="A12" s="114"/>
      <c r="B12" s="114" t="s">
        <v>831</v>
      </c>
      <c r="C12" s="160" t="s">
        <v>832</v>
      </c>
      <c r="D12" s="148">
        <f t="shared" si="0"/>
        <v>45000000</v>
      </c>
      <c r="E12" s="133">
        <v>0</v>
      </c>
      <c r="F12" s="133">
        <v>0</v>
      </c>
      <c r="G12" s="133">
        <v>45000000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48">
        <f t="shared" si="2"/>
        <v>45000000</v>
      </c>
      <c r="N12" s="133">
        <v>0</v>
      </c>
      <c r="O12" s="133">
        <v>0</v>
      </c>
      <c r="P12" s="133">
        <v>45000000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</row>
    <row r="13" spans="1:21" ht="18">
      <c r="A13" s="114"/>
      <c r="B13" s="114" t="s">
        <v>833</v>
      </c>
      <c r="C13" s="160" t="s">
        <v>834</v>
      </c>
      <c r="D13" s="148">
        <f t="shared" si="0"/>
        <v>693088000</v>
      </c>
      <c r="E13" s="133">
        <v>0</v>
      </c>
      <c r="F13" s="133">
        <v>0</v>
      </c>
      <c r="G13" s="133">
        <v>693088000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48">
        <f t="shared" si="2"/>
        <v>736920572</v>
      </c>
      <c r="N13" s="133">
        <v>0</v>
      </c>
      <c r="O13" s="133">
        <v>0</v>
      </c>
      <c r="P13" s="133">
        <v>736920572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</row>
    <row r="14" spans="1:21" ht="18">
      <c r="A14" s="114"/>
      <c r="B14" s="114" t="s">
        <v>835</v>
      </c>
      <c r="C14" s="125" t="s">
        <v>827</v>
      </c>
      <c r="D14" s="148">
        <f t="shared" si="0"/>
        <v>74566000</v>
      </c>
      <c r="E14" s="133">
        <v>1000000</v>
      </c>
      <c r="F14" s="133">
        <v>500000</v>
      </c>
      <c r="G14" s="133">
        <v>72066000</v>
      </c>
      <c r="H14" s="133">
        <v>0</v>
      </c>
      <c r="I14" s="133">
        <v>1000000</v>
      </c>
      <c r="J14" s="133">
        <v>0</v>
      </c>
      <c r="K14" s="133">
        <v>0</v>
      </c>
      <c r="L14" s="133">
        <v>0</v>
      </c>
      <c r="M14" s="148">
        <f t="shared" si="2"/>
        <v>74573539</v>
      </c>
      <c r="N14" s="133">
        <v>1000000</v>
      </c>
      <c r="O14" s="133">
        <v>2307676</v>
      </c>
      <c r="P14" s="133">
        <v>70265863</v>
      </c>
      <c r="Q14" s="133">
        <v>0</v>
      </c>
      <c r="R14" s="133">
        <v>1000000</v>
      </c>
      <c r="S14" s="133">
        <v>0</v>
      </c>
      <c r="T14" s="133">
        <v>0</v>
      </c>
      <c r="U14" s="133">
        <v>0</v>
      </c>
    </row>
    <row r="15" spans="1:21" ht="18">
      <c r="A15" s="114"/>
      <c r="B15" s="114" t="s">
        <v>836</v>
      </c>
      <c r="C15" s="125" t="s">
        <v>837</v>
      </c>
      <c r="D15" s="148">
        <f t="shared" si="0"/>
        <v>22434000</v>
      </c>
      <c r="E15" s="133">
        <v>11000000</v>
      </c>
      <c r="F15" s="133">
        <v>2970000</v>
      </c>
      <c r="G15" s="133">
        <v>8464000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48">
        <f t="shared" si="2"/>
        <v>29094850</v>
      </c>
      <c r="N15" s="133">
        <v>10575600</v>
      </c>
      <c r="O15" s="133">
        <v>3249450</v>
      </c>
      <c r="P15" s="133">
        <v>15269800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</row>
    <row r="16" spans="1:21" ht="30">
      <c r="A16" s="114"/>
      <c r="B16" s="114" t="s">
        <v>838</v>
      </c>
      <c r="C16" s="160" t="s">
        <v>839</v>
      </c>
      <c r="D16" s="148">
        <f t="shared" si="0"/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48">
        <f t="shared" si="2"/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</row>
    <row r="17" spans="1:21" ht="30">
      <c r="A17" s="114"/>
      <c r="B17" s="114" t="s">
        <v>840</v>
      </c>
      <c r="C17" s="160" t="s">
        <v>841</v>
      </c>
      <c r="D17" s="148">
        <f t="shared" si="0"/>
        <v>150000000</v>
      </c>
      <c r="E17" s="133">
        <v>0</v>
      </c>
      <c r="F17" s="133">
        <v>0</v>
      </c>
      <c r="G17" s="133">
        <v>0</v>
      </c>
      <c r="H17" s="133">
        <v>0</v>
      </c>
      <c r="I17" s="133">
        <v>150000000</v>
      </c>
      <c r="J17" s="133">
        <v>0</v>
      </c>
      <c r="K17" s="133">
        <v>0</v>
      </c>
      <c r="L17" s="133">
        <v>0</v>
      </c>
      <c r="M17" s="148">
        <f t="shared" si="2"/>
        <v>150000000</v>
      </c>
      <c r="N17" s="133">
        <v>0</v>
      </c>
      <c r="O17" s="133">
        <v>0</v>
      </c>
      <c r="P17" s="133">
        <v>0</v>
      </c>
      <c r="Q17" s="133">
        <v>0</v>
      </c>
      <c r="R17" s="133">
        <v>150000000</v>
      </c>
      <c r="S17" s="133">
        <v>0</v>
      </c>
      <c r="T17" s="133">
        <v>0</v>
      </c>
      <c r="U17" s="133">
        <v>0</v>
      </c>
    </row>
    <row r="18" spans="1:21" ht="18">
      <c r="A18" s="114"/>
      <c r="B18" s="114" t="s">
        <v>842</v>
      </c>
      <c r="C18" s="160" t="s">
        <v>843</v>
      </c>
      <c r="D18" s="148">
        <f t="shared" si="0"/>
        <v>2316714000</v>
      </c>
      <c r="E18" s="133">
        <v>0</v>
      </c>
      <c r="F18" s="133">
        <v>0</v>
      </c>
      <c r="G18" s="133">
        <v>0</v>
      </c>
      <c r="H18" s="133">
        <v>0</v>
      </c>
      <c r="I18" s="133">
        <v>2316714000</v>
      </c>
      <c r="J18" s="133">
        <v>0</v>
      </c>
      <c r="K18" s="133">
        <v>0</v>
      </c>
      <c r="L18" s="133">
        <v>0</v>
      </c>
      <c r="M18" s="148">
        <f t="shared" si="2"/>
        <v>2316714000</v>
      </c>
      <c r="N18" s="133">
        <v>0</v>
      </c>
      <c r="O18" s="133">
        <v>0</v>
      </c>
      <c r="P18" s="133">
        <v>0</v>
      </c>
      <c r="Q18" s="133">
        <v>0</v>
      </c>
      <c r="R18" s="133">
        <v>2316714000</v>
      </c>
      <c r="S18" s="133">
        <v>0</v>
      </c>
      <c r="T18" s="133">
        <v>0</v>
      </c>
      <c r="U18" s="133">
        <v>0</v>
      </c>
    </row>
    <row r="19" spans="1:21" ht="18">
      <c r="A19" s="114"/>
      <c r="B19" s="114" t="s">
        <v>844</v>
      </c>
      <c r="C19" s="160" t="s">
        <v>845</v>
      </c>
      <c r="D19" s="148">
        <f t="shared" si="0"/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48">
        <f t="shared" si="2"/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</row>
    <row r="20" spans="1:21" ht="18">
      <c r="A20" s="114"/>
      <c r="B20" s="114" t="s">
        <v>846</v>
      </c>
      <c r="C20" s="160" t="s">
        <v>847</v>
      </c>
      <c r="D20" s="148">
        <f t="shared" si="0"/>
        <v>14840000</v>
      </c>
      <c r="E20" s="133">
        <v>8000000</v>
      </c>
      <c r="F20" s="133">
        <v>3840000</v>
      </c>
      <c r="G20" s="133">
        <v>3000000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48">
        <f t="shared" si="2"/>
        <v>15911018</v>
      </c>
      <c r="N20" s="133">
        <v>6740882</v>
      </c>
      <c r="O20" s="133">
        <v>4910136</v>
      </c>
      <c r="P20" s="133">
        <v>2500000</v>
      </c>
      <c r="Q20" s="133">
        <v>0</v>
      </c>
      <c r="R20" s="133">
        <v>1760000</v>
      </c>
      <c r="S20" s="133">
        <v>0</v>
      </c>
      <c r="T20" s="133">
        <v>0</v>
      </c>
      <c r="U20" s="133">
        <v>0</v>
      </c>
    </row>
    <row r="21" spans="1:21" ht="18">
      <c r="A21" s="114"/>
      <c r="B21" s="114" t="s">
        <v>848</v>
      </c>
      <c r="C21" s="160" t="s">
        <v>849</v>
      </c>
      <c r="D21" s="148">
        <f t="shared" si="0"/>
        <v>200000000</v>
      </c>
      <c r="E21" s="133">
        <v>0</v>
      </c>
      <c r="F21" s="133">
        <v>0</v>
      </c>
      <c r="G21" s="133">
        <v>200000000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48">
        <f t="shared" si="2"/>
        <v>200400200</v>
      </c>
      <c r="N21" s="133">
        <v>0</v>
      </c>
      <c r="O21" s="133">
        <v>0</v>
      </c>
      <c r="P21" s="133">
        <v>136218309</v>
      </c>
      <c r="Q21" s="133">
        <v>0</v>
      </c>
      <c r="R21" s="133">
        <v>64181891</v>
      </c>
      <c r="S21" s="133">
        <v>0</v>
      </c>
      <c r="T21" s="133">
        <v>0</v>
      </c>
      <c r="U21" s="133">
        <v>0</v>
      </c>
    </row>
    <row r="22" spans="1:21" ht="18">
      <c r="A22" s="114"/>
      <c r="B22" s="114" t="s">
        <v>850</v>
      </c>
      <c r="C22" s="160" t="s">
        <v>851</v>
      </c>
      <c r="D22" s="148">
        <f t="shared" si="0"/>
        <v>10000000</v>
      </c>
      <c r="E22" s="133">
        <v>0</v>
      </c>
      <c r="F22" s="133">
        <v>0</v>
      </c>
      <c r="G22" s="133">
        <v>4700000</v>
      </c>
      <c r="H22" s="133">
        <v>0</v>
      </c>
      <c r="I22" s="133">
        <v>0</v>
      </c>
      <c r="J22" s="133">
        <v>4500000</v>
      </c>
      <c r="K22" s="133">
        <v>800000</v>
      </c>
      <c r="L22" s="133">
        <v>0</v>
      </c>
      <c r="M22" s="148">
        <f t="shared" si="2"/>
        <v>10000000</v>
      </c>
      <c r="N22" s="133">
        <v>0</v>
      </c>
      <c r="O22" s="133">
        <v>0</v>
      </c>
      <c r="P22" s="133">
        <v>10000000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</row>
    <row r="23" spans="1:21" ht="30">
      <c r="A23" s="114"/>
      <c r="B23" s="114" t="s">
        <v>852</v>
      </c>
      <c r="C23" s="160" t="s">
        <v>853</v>
      </c>
      <c r="D23" s="148">
        <f t="shared" si="0"/>
        <v>20218680</v>
      </c>
      <c r="E23" s="133">
        <v>0</v>
      </c>
      <c r="F23" s="133">
        <v>0</v>
      </c>
      <c r="G23" s="133">
        <v>20218680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48">
        <f t="shared" si="2"/>
        <v>20218680</v>
      </c>
      <c r="N23" s="133">
        <v>0</v>
      </c>
      <c r="O23" s="133">
        <v>0</v>
      </c>
      <c r="P23" s="133">
        <v>20218680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</row>
    <row r="24" spans="1:21" ht="30">
      <c r="A24" s="114"/>
      <c r="B24" s="114" t="s">
        <v>854</v>
      </c>
      <c r="C24" s="160" t="s">
        <v>855</v>
      </c>
      <c r="D24" s="148">
        <f t="shared" si="0"/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48">
        <f t="shared" si="2"/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</row>
    <row r="25" spans="1:21" ht="18">
      <c r="A25" s="114"/>
      <c r="B25" s="114" t="s">
        <v>856</v>
      </c>
      <c r="C25" s="160" t="s">
        <v>857</v>
      </c>
      <c r="D25" s="148">
        <f t="shared" si="0"/>
        <v>100000000</v>
      </c>
      <c r="E25" s="133">
        <v>0</v>
      </c>
      <c r="F25" s="133">
        <v>0</v>
      </c>
      <c r="G25" s="133">
        <v>100000000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48">
        <f t="shared" si="2"/>
        <v>100000000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100000000</v>
      </c>
    </row>
    <row r="26" spans="1:21" ht="18">
      <c r="A26" s="114"/>
      <c r="B26" s="114" t="s">
        <v>858</v>
      </c>
      <c r="C26" s="160" t="s">
        <v>859</v>
      </c>
      <c r="D26" s="148">
        <f t="shared" si="0"/>
        <v>2000000</v>
      </c>
      <c r="E26" s="133">
        <v>0</v>
      </c>
      <c r="F26" s="133">
        <v>0</v>
      </c>
      <c r="G26" s="133">
        <v>2000000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48">
        <f t="shared" si="2"/>
        <v>2000000</v>
      </c>
      <c r="N26" s="133">
        <v>0</v>
      </c>
      <c r="O26" s="133">
        <v>0</v>
      </c>
      <c r="P26" s="133">
        <v>2000000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</row>
    <row r="27" spans="1:21" ht="30">
      <c r="A27" s="114"/>
      <c r="B27" s="114" t="s">
        <v>860</v>
      </c>
      <c r="C27" s="160" t="s">
        <v>861</v>
      </c>
      <c r="D27" s="148">
        <f t="shared" si="0"/>
        <v>1000000</v>
      </c>
      <c r="E27" s="133">
        <v>0</v>
      </c>
      <c r="F27" s="133">
        <v>0</v>
      </c>
      <c r="G27" s="133">
        <v>1000000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48">
        <f t="shared" si="2"/>
        <v>1000000</v>
      </c>
      <c r="N27" s="133">
        <v>0</v>
      </c>
      <c r="O27" s="133">
        <v>0</v>
      </c>
      <c r="P27" s="133">
        <v>1000000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</row>
    <row r="28" spans="1:21" ht="30">
      <c r="A28" s="114"/>
      <c r="B28" s="114" t="s">
        <v>862</v>
      </c>
      <c r="C28" s="160" t="s">
        <v>863</v>
      </c>
      <c r="D28" s="148">
        <f t="shared" si="0"/>
        <v>10000000</v>
      </c>
      <c r="E28" s="133">
        <v>0</v>
      </c>
      <c r="F28" s="133">
        <v>0</v>
      </c>
      <c r="G28" s="133">
        <v>10000000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48">
        <f t="shared" si="2"/>
        <v>3605000</v>
      </c>
      <c r="N28" s="133">
        <v>0</v>
      </c>
      <c r="O28" s="133">
        <v>0</v>
      </c>
      <c r="P28" s="133">
        <v>3605000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</row>
    <row r="29" spans="1:21" ht="40.5" customHeight="1">
      <c r="A29" s="114"/>
      <c r="B29" s="114" t="s">
        <v>864</v>
      </c>
      <c r="C29" s="160" t="s">
        <v>865</v>
      </c>
      <c r="D29" s="148">
        <f t="shared" si="0"/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48">
        <f t="shared" si="2"/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</row>
    <row r="30" spans="1:21" ht="18">
      <c r="A30" s="114"/>
      <c r="B30" s="114" t="s">
        <v>866</v>
      </c>
      <c r="C30" s="160" t="s">
        <v>867</v>
      </c>
      <c r="D30" s="148">
        <f t="shared" si="0"/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48">
        <f t="shared" si="2"/>
        <v>243107000</v>
      </c>
      <c r="N30" s="133">
        <v>0</v>
      </c>
      <c r="O30" s="133">
        <v>0</v>
      </c>
      <c r="P30" s="133">
        <v>0</v>
      </c>
      <c r="Q30" s="133">
        <v>0</v>
      </c>
      <c r="R30" s="133">
        <v>243107000</v>
      </c>
      <c r="S30" s="133">
        <v>0</v>
      </c>
      <c r="T30" s="133">
        <v>0</v>
      </c>
      <c r="U30" s="133">
        <v>0</v>
      </c>
    </row>
    <row r="31" spans="1:21" ht="18">
      <c r="A31" s="114"/>
      <c r="B31" s="114" t="s">
        <v>868</v>
      </c>
      <c r="C31" s="160" t="s">
        <v>869</v>
      </c>
      <c r="D31" s="148">
        <f t="shared" si="0"/>
        <v>0</v>
      </c>
      <c r="E31" s="133"/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48">
        <f t="shared" si="2"/>
        <v>26000000</v>
      </c>
      <c r="N31" s="133"/>
      <c r="O31" s="133">
        <v>0</v>
      </c>
      <c r="P31" s="133">
        <v>0</v>
      </c>
      <c r="Q31" s="133">
        <v>0</v>
      </c>
      <c r="R31" s="133">
        <v>26000000</v>
      </c>
      <c r="S31" s="133">
        <v>0</v>
      </c>
      <c r="T31" s="133">
        <v>0</v>
      </c>
      <c r="U31" s="133">
        <v>0</v>
      </c>
    </row>
    <row r="32" spans="1:21" ht="45">
      <c r="A32" s="114"/>
      <c r="B32" s="114" t="s">
        <v>870</v>
      </c>
      <c r="C32" s="160" t="s">
        <v>871</v>
      </c>
      <c r="D32" s="148">
        <f t="shared" si="0"/>
        <v>5000000</v>
      </c>
      <c r="E32" s="133">
        <v>0</v>
      </c>
      <c r="F32" s="133">
        <v>0</v>
      </c>
      <c r="G32" s="133">
        <v>5000000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48">
        <f t="shared" si="2"/>
        <v>5000000</v>
      </c>
      <c r="N32" s="133">
        <v>0</v>
      </c>
      <c r="O32" s="133">
        <v>0</v>
      </c>
      <c r="P32" s="133">
        <v>5000000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</row>
    <row r="33" spans="1:21" ht="30">
      <c r="A33" s="114"/>
      <c r="B33" s="114" t="s">
        <v>872</v>
      </c>
      <c r="C33" s="160" t="s">
        <v>873</v>
      </c>
      <c r="D33" s="148">
        <f t="shared" si="0"/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48">
        <f t="shared" si="2"/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</row>
    <row r="34" spans="1:21" ht="18">
      <c r="A34" s="114"/>
      <c r="B34" s="114" t="s">
        <v>874</v>
      </c>
      <c r="C34" s="160" t="s">
        <v>875</v>
      </c>
      <c r="D34" s="148">
        <f t="shared" si="0"/>
        <v>6350000</v>
      </c>
      <c r="E34" s="133">
        <v>0</v>
      </c>
      <c r="F34" s="133">
        <v>0</v>
      </c>
      <c r="G34" s="133">
        <v>6350000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48">
        <f t="shared" si="2"/>
        <v>6856999</v>
      </c>
      <c r="N34" s="133">
        <v>0</v>
      </c>
      <c r="O34" s="133">
        <v>0</v>
      </c>
      <c r="P34" s="133">
        <v>6856999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</row>
    <row r="35" spans="1:21" ht="18">
      <c r="A35" s="114"/>
      <c r="B35" s="114" t="s">
        <v>876</v>
      </c>
      <c r="C35" s="160" t="s">
        <v>877</v>
      </c>
      <c r="D35" s="148">
        <f t="shared" si="0"/>
        <v>85000000</v>
      </c>
      <c r="E35" s="133">
        <v>0</v>
      </c>
      <c r="F35" s="133">
        <v>0</v>
      </c>
      <c r="G35" s="133">
        <v>85000000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48">
        <f t="shared" si="2"/>
        <v>85000000</v>
      </c>
      <c r="N35" s="133">
        <v>0</v>
      </c>
      <c r="O35" s="133">
        <v>0</v>
      </c>
      <c r="P35" s="133">
        <v>85000000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</row>
    <row r="36" spans="1:21" ht="18">
      <c r="A36" s="114" t="s">
        <v>131</v>
      </c>
      <c r="B36" s="114"/>
      <c r="C36" s="115" t="s">
        <v>36</v>
      </c>
      <c r="D36" s="129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29">
        <f t="shared" si="2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</row>
    <row r="37" spans="1:21" ht="18">
      <c r="A37" s="114" t="s">
        <v>132</v>
      </c>
      <c r="B37" s="114"/>
      <c r="C37" s="115" t="s">
        <v>38</v>
      </c>
      <c r="D37" s="129">
        <f t="shared" si="0"/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29">
        <v>0</v>
      </c>
      <c r="M37" s="129">
        <f t="shared" si="2"/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29">
        <v>0</v>
      </c>
    </row>
    <row r="38" spans="1:21" ht="18" customHeight="1">
      <c r="A38" s="222" t="s">
        <v>364</v>
      </c>
      <c r="B38" s="222"/>
      <c r="C38" s="222"/>
      <c r="D38" s="129">
        <f t="shared" si="0"/>
        <v>3801210680</v>
      </c>
      <c r="E38" s="130">
        <f aca="true" t="shared" si="4" ref="E38:L38">E10+E36+E37</f>
        <v>20000000</v>
      </c>
      <c r="F38" s="130">
        <f t="shared" si="4"/>
        <v>7310000</v>
      </c>
      <c r="G38" s="130">
        <f t="shared" si="4"/>
        <v>1300886680</v>
      </c>
      <c r="H38" s="130">
        <f t="shared" si="4"/>
        <v>0</v>
      </c>
      <c r="I38" s="130">
        <f t="shared" si="4"/>
        <v>2467714000</v>
      </c>
      <c r="J38" s="130">
        <f t="shared" si="4"/>
        <v>4500000</v>
      </c>
      <c r="K38" s="130">
        <f t="shared" si="4"/>
        <v>800000</v>
      </c>
      <c r="L38" s="130">
        <f t="shared" si="4"/>
        <v>0</v>
      </c>
      <c r="M38" s="129">
        <f t="shared" si="2"/>
        <v>4116401858</v>
      </c>
      <c r="N38" s="130">
        <f aca="true" t="shared" si="5" ref="N38:U38">N10+N36+N37</f>
        <v>18316482</v>
      </c>
      <c r="O38" s="130">
        <f t="shared" si="5"/>
        <v>10467262</v>
      </c>
      <c r="P38" s="130">
        <f t="shared" si="5"/>
        <v>1184855223</v>
      </c>
      <c r="Q38" s="130">
        <f t="shared" si="5"/>
        <v>0</v>
      </c>
      <c r="R38" s="130">
        <f t="shared" si="5"/>
        <v>2802762891</v>
      </c>
      <c r="S38" s="130">
        <f t="shared" si="5"/>
        <v>0</v>
      </c>
      <c r="T38" s="130">
        <f t="shared" si="5"/>
        <v>0</v>
      </c>
      <c r="U38" s="130">
        <f t="shared" si="5"/>
        <v>100000000</v>
      </c>
    </row>
  </sheetData>
  <sheetProtection selectLockedCells="1" selectUnlockedCells="1"/>
  <mergeCells count="16">
    <mergeCell ref="A38:C38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9"/>
  <sheetViews>
    <sheetView view="pageBreakPreview" zoomScale="89" zoomScaleNormal="71" zoomScaleSheetLayoutView="89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6" width="14.57421875" style="0" customWidth="1"/>
    <col min="7" max="7" width="17.57421875" style="0" customWidth="1"/>
    <col min="8" max="12" width="14.57421875" style="0" customWidth="1"/>
    <col min="13" max="13" width="18.7109375" style="0" customWidth="1"/>
    <col min="14" max="14" width="15.8515625" style="0" customWidth="1"/>
    <col min="15" max="15" width="17.57421875" style="0" customWidth="1"/>
    <col min="16" max="16" width="17.7109375" style="0" customWidth="1"/>
    <col min="17" max="17" width="14.57421875" style="0" customWidth="1"/>
    <col min="18" max="18" width="18.00390625" style="0" customWidth="1"/>
    <col min="19" max="19" width="17.00390625" style="0" customWidth="1"/>
    <col min="20" max="20" width="13.7109375" style="0" customWidth="1"/>
    <col min="21" max="21" width="14.8515625" style="0" customWidth="1"/>
  </cols>
  <sheetData>
    <row r="1" spans="1:21" ht="18">
      <c r="A1" s="230" t="s">
        <v>1145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1046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878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879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89.25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135</v>
      </c>
      <c r="B10" s="114"/>
      <c r="C10" s="115" t="s">
        <v>34</v>
      </c>
      <c r="D10" s="129">
        <f aca="true" t="shared" si="0" ref="D10:D22">SUM(E10:L10)</f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29">
        <v>0</v>
      </c>
      <c r="M10" s="129">
        <f aca="true" t="shared" si="1" ref="M10:M22">SUM(N10:U10)</f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29">
        <v>0</v>
      </c>
    </row>
    <row r="11" spans="1:21" ht="18">
      <c r="A11" s="114" t="s">
        <v>136</v>
      </c>
      <c r="B11" s="114"/>
      <c r="C11" s="115" t="s">
        <v>36</v>
      </c>
      <c r="D11" s="129">
        <f t="shared" si="0"/>
        <v>243122000</v>
      </c>
      <c r="E11" s="130">
        <f aca="true" t="shared" si="2" ref="E11:L11">SUM(E12:E20)</f>
        <v>21120000</v>
      </c>
      <c r="F11" s="130">
        <f t="shared" si="2"/>
        <v>10560000</v>
      </c>
      <c r="G11" s="130">
        <f t="shared" si="2"/>
        <v>201442000</v>
      </c>
      <c r="H11" s="130">
        <f t="shared" si="2"/>
        <v>0</v>
      </c>
      <c r="I11" s="130">
        <f t="shared" si="2"/>
        <v>10000000</v>
      </c>
      <c r="J11" s="130">
        <f t="shared" si="2"/>
        <v>0</v>
      </c>
      <c r="K11" s="130">
        <f t="shared" si="2"/>
        <v>0</v>
      </c>
      <c r="L11" s="130">
        <f t="shared" si="2"/>
        <v>0</v>
      </c>
      <c r="M11" s="129">
        <f t="shared" si="1"/>
        <v>427482387</v>
      </c>
      <c r="N11" s="130">
        <f aca="true" t="shared" si="3" ref="N11:U11">SUM(N12:N20)</f>
        <v>23462674</v>
      </c>
      <c r="O11" s="130">
        <f t="shared" si="3"/>
        <v>12185781</v>
      </c>
      <c r="P11" s="130">
        <f t="shared" si="3"/>
        <v>186248082</v>
      </c>
      <c r="Q11" s="130">
        <f t="shared" si="3"/>
        <v>0</v>
      </c>
      <c r="R11" s="130">
        <f t="shared" si="3"/>
        <v>179260000</v>
      </c>
      <c r="S11" s="130">
        <f t="shared" si="3"/>
        <v>26325850</v>
      </c>
      <c r="T11" s="130">
        <f t="shared" si="3"/>
        <v>0</v>
      </c>
      <c r="U11" s="130">
        <f t="shared" si="3"/>
        <v>0</v>
      </c>
    </row>
    <row r="12" spans="1:21" ht="30">
      <c r="A12" s="114"/>
      <c r="B12" s="114" t="s">
        <v>880</v>
      </c>
      <c r="C12" s="125" t="s">
        <v>881</v>
      </c>
      <c r="D12" s="148">
        <f t="shared" si="0"/>
        <v>20810000</v>
      </c>
      <c r="E12" s="133">
        <v>0</v>
      </c>
      <c r="F12" s="133">
        <v>0</v>
      </c>
      <c r="G12" s="133">
        <v>20810000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48">
        <f t="shared" si="1"/>
        <v>22334000</v>
      </c>
      <c r="N12" s="133">
        <v>0</v>
      </c>
      <c r="O12" s="133">
        <v>0</v>
      </c>
      <c r="P12" s="133">
        <v>22334000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</row>
    <row r="13" spans="1:21" ht="45">
      <c r="A13" s="114"/>
      <c r="B13" s="114" t="s">
        <v>882</v>
      </c>
      <c r="C13" s="125" t="s">
        <v>883</v>
      </c>
      <c r="D13" s="148">
        <f t="shared" si="0"/>
        <v>75800000</v>
      </c>
      <c r="E13" s="133">
        <v>15000000</v>
      </c>
      <c r="F13" s="133">
        <v>8000000</v>
      </c>
      <c r="G13" s="133">
        <v>47800000</v>
      </c>
      <c r="H13" s="133">
        <v>0</v>
      </c>
      <c r="I13" s="133">
        <v>5000000</v>
      </c>
      <c r="J13" s="133">
        <v>0</v>
      </c>
      <c r="K13" s="133">
        <v>0</v>
      </c>
      <c r="L13" s="133">
        <v>0</v>
      </c>
      <c r="M13" s="148">
        <f t="shared" si="1"/>
        <v>82056566</v>
      </c>
      <c r="N13" s="133">
        <v>15000000</v>
      </c>
      <c r="O13" s="133">
        <v>9256566</v>
      </c>
      <c r="P13" s="133">
        <v>31800000</v>
      </c>
      <c r="Q13" s="133">
        <v>0</v>
      </c>
      <c r="R13" s="133">
        <v>26000000</v>
      </c>
      <c r="S13" s="133">
        <v>0</v>
      </c>
      <c r="T13" s="133">
        <v>0</v>
      </c>
      <c r="U13" s="133">
        <v>0</v>
      </c>
    </row>
    <row r="14" spans="1:21" ht="18">
      <c r="A14" s="114"/>
      <c r="B14" s="114" t="s">
        <v>884</v>
      </c>
      <c r="C14" s="125" t="s">
        <v>885</v>
      </c>
      <c r="D14" s="148">
        <f t="shared" si="0"/>
        <v>69750000</v>
      </c>
      <c r="E14" s="133">
        <v>2000000</v>
      </c>
      <c r="F14" s="133">
        <v>1200000</v>
      </c>
      <c r="G14" s="133">
        <v>66550000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48">
        <f t="shared" si="1"/>
        <v>74697436</v>
      </c>
      <c r="N14" s="133">
        <v>2000000</v>
      </c>
      <c r="O14" s="133">
        <v>1200000</v>
      </c>
      <c r="P14" s="133">
        <v>62497436</v>
      </c>
      <c r="Q14" s="133">
        <v>0</v>
      </c>
      <c r="R14" s="133">
        <v>9000000</v>
      </c>
      <c r="S14" s="133">
        <v>0</v>
      </c>
      <c r="T14" s="133">
        <v>0</v>
      </c>
      <c r="U14" s="133">
        <v>0</v>
      </c>
    </row>
    <row r="15" spans="1:21" ht="18">
      <c r="A15" s="114"/>
      <c r="B15" s="114" t="s">
        <v>886</v>
      </c>
      <c r="C15" s="125" t="s">
        <v>887</v>
      </c>
      <c r="D15" s="148">
        <f t="shared" si="0"/>
        <v>12000000</v>
      </c>
      <c r="E15" s="133">
        <v>1000000</v>
      </c>
      <c r="F15" s="133">
        <v>300000</v>
      </c>
      <c r="G15" s="133">
        <v>10700000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48">
        <f t="shared" si="1"/>
        <v>14573817</v>
      </c>
      <c r="N15" s="133">
        <v>1324597</v>
      </c>
      <c r="O15" s="133">
        <v>549220</v>
      </c>
      <c r="P15" s="133">
        <v>9139150</v>
      </c>
      <c r="Q15" s="133">
        <v>0</v>
      </c>
      <c r="R15" s="133">
        <v>0</v>
      </c>
      <c r="S15" s="133">
        <v>3560850</v>
      </c>
      <c r="T15" s="133">
        <v>0</v>
      </c>
      <c r="U15" s="133">
        <v>0</v>
      </c>
    </row>
    <row r="16" spans="1:21" ht="30">
      <c r="A16" s="114"/>
      <c r="B16" s="114" t="s">
        <v>888</v>
      </c>
      <c r="C16" s="125" t="s">
        <v>889</v>
      </c>
      <c r="D16" s="148">
        <f t="shared" si="0"/>
        <v>5300000</v>
      </c>
      <c r="E16" s="133">
        <v>0</v>
      </c>
      <c r="F16" s="133">
        <v>0</v>
      </c>
      <c r="G16" s="133">
        <v>5300000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48">
        <f t="shared" si="1"/>
        <v>5598610</v>
      </c>
      <c r="N16" s="133">
        <v>867020</v>
      </c>
      <c r="O16" s="133">
        <v>131590</v>
      </c>
      <c r="P16" s="133">
        <v>4600000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</row>
    <row r="17" spans="1:21" ht="30">
      <c r="A17" s="114"/>
      <c r="B17" s="114" t="s">
        <v>890</v>
      </c>
      <c r="C17" s="125" t="s">
        <v>891</v>
      </c>
      <c r="D17" s="148">
        <f t="shared" si="0"/>
        <v>4162000</v>
      </c>
      <c r="E17" s="133">
        <v>0</v>
      </c>
      <c r="F17" s="133">
        <v>0</v>
      </c>
      <c r="G17" s="133">
        <v>4162000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48">
        <f t="shared" si="1"/>
        <v>5888946</v>
      </c>
      <c r="N17" s="133">
        <v>0</v>
      </c>
      <c r="O17" s="133">
        <v>0</v>
      </c>
      <c r="P17" s="133">
        <v>5888946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</row>
    <row r="18" spans="1:21" ht="30">
      <c r="A18" s="114"/>
      <c r="B18" s="114" t="s">
        <v>892</v>
      </c>
      <c r="C18" s="125" t="s">
        <v>893</v>
      </c>
      <c r="D18" s="148">
        <f t="shared" si="0"/>
        <v>35100000</v>
      </c>
      <c r="E18" s="133">
        <v>1000000</v>
      </c>
      <c r="F18" s="133">
        <v>500000</v>
      </c>
      <c r="G18" s="133">
        <v>28600000</v>
      </c>
      <c r="H18" s="133">
        <v>0</v>
      </c>
      <c r="I18" s="133">
        <v>5000000</v>
      </c>
      <c r="J18" s="133">
        <v>0</v>
      </c>
      <c r="K18" s="133">
        <v>0</v>
      </c>
      <c r="L18" s="133">
        <v>0</v>
      </c>
      <c r="M18" s="148">
        <f t="shared" si="1"/>
        <v>200790532</v>
      </c>
      <c r="N18" s="133">
        <v>1891057</v>
      </c>
      <c r="O18" s="133">
        <v>357925</v>
      </c>
      <c r="P18" s="133">
        <v>35776550</v>
      </c>
      <c r="Q18" s="133">
        <v>0</v>
      </c>
      <c r="R18" s="133">
        <v>140000000</v>
      </c>
      <c r="S18" s="133">
        <v>22765000</v>
      </c>
      <c r="T18" s="133">
        <v>0</v>
      </c>
      <c r="U18" s="133">
        <v>0</v>
      </c>
    </row>
    <row r="19" spans="1:21" ht="18">
      <c r="A19" s="114"/>
      <c r="B19" s="114" t="s">
        <v>894</v>
      </c>
      <c r="C19" s="125" t="s">
        <v>895</v>
      </c>
      <c r="D19" s="148">
        <f t="shared" si="0"/>
        <v>7400000</v>
      </c>
      <c r="E19" s="133">
        <v>1920000</v>
      </c>
      <c r="F19" s="133">
        <v>480000</v>
      </c>
      <c r="G19" s="133">
        <v>5000000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48">
        <f t="shared" si="1"/>
        <v>7692480</v>
      </c>
      <c r="N19" s="133">
        <v>2080000</v>
      </c>
      <c r="O19" s="133">
        <v>540480</v>
      </c>
      <c r="P19" s="133">
        <v>1472000</v>
      </c>
      <c r="Q19" s="133">
        <v>0</v>
      </c>
      <c r="R19" s="133">
        <v>3600000</v>
      </c>
      <c r="S19" s="133">
        <v>0</v>
      </c>
      <c r="T19" s="133">
        <v>0</v>
      </c>
      <c r="U19" s="133">
        <v>0</v>
      </c>
    </row>
    <row r="20" spans="1:21" ht="30">
      <c r="A20" s="114"/>
      <c r="B20" s="114" t="s">
        <v>896</v>
      </c>
      <c r="C20" s="125" t="s">
        <v>897</v>
      </c>
      <c r="D20" s="148">
        <f t="shared" si="0"/>
        <v>12800000</v>
      </c>
      <c r="E20" s="133">
        <v>200000</v>
      </c>
      <c r="F20" s="133">
        <v>80000</v>
      </c>
      <c r="G20" s="133">
        <v>12520000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48">
        <f t="shared" si="1"/>
        <v>13850000</v>
      </c>
      <c r="N20" s="133">
        <v>300000</v>
      </c>
      <c r="O20" s="133">
        <v>150000</v>
      </c>
      <c r="P20" s="133">
        <v>12740000</v>
      </c>
      <c r="Q20" s="133">
        <v>0</v>
      </c>
      <c r="R20" s="133">
        <v>660000</v>
      </c>
      <c r="S20" s="133">
        <v>0</v>
      </c>
      <c r="T20" s="133">
        <v>0</v>
      </c>
      <c r="U20" s="133">
        <v>0</v>
      </c>
    </row>
    <row r="21" spans="1:21" ht="18">
      <c r="A21" s="114" t="s">
        <v>137</v>
      </c>
      <c r="B21" s="114"/>
      <c r="C21" s="115" t="s">
        <v>38</v>
      </c>
      <c r="D21" s="129">
        <f t="shared" si="0"/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29">
        <v>0</v>
      </c>
      <c r="M21" s="129">
        <f t="shared" si="1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29">
        <v>0</v>
      </c>
    </row>
    <row r="22" spans="1:21" ht="18" customHeight="1">
      <c r="A22" s="222" t="s">
        <v>364</v>
      </c>
      <c r="B22" s="222"/>
      <c r="C22" s="222"/>
      <c r="D22" s="129">
        <f t="shared" si="0"/>
        <v>243122000</v>
      </c>
      <c r="E22" s="130">
        <f aca="true" t="shared" si="4" ref="E22:L22">E10+E11+E21</f>
        <v>21120000</v>
      </c>
      <c r="F22" s="130">
        <f t="shared" si="4"/>
        <v>10560000</v>
      </c>
      <c r="G22" s="130">
        <f t="shared" si="4"/>
        <v>201442000</v>
      </c>
      <c r="H22" s="130">
        <f t="shared" si="4"/>
        <v>0</v>
      </c>
      <c r="I22" s="130">
        <f t="shared" si="4"/>
        <v>10000000</v>
      </c>
      <c r="J22" s="130">
        <f t="shared" si="4"/>
        <v>0</v>
      </c>
      <c r="K22" s="130">
        <f t="shared" si="4"/>
        <v>0</v>
      </c>
      <c r="L22" s="130">
        <f t="shared" si="4"/>
        <v>0</v>
      </c>
      <c r="M22" s="129">
        <f t="shared" si="1"/>
        <v>427482387</v>
      </c>
      <c r="N22" s="130">
        <f aca="true" t="shared" si="5" ref="N22:U22">N10+N11+N21</f>
        <v>23462674</v>
      </c>
      <c r="O22" s="130">
        <f t="shared" si="5"/>
        <v>12185781</v>
      </c>
      <c r="P22" s="130">
        <f t="shared" si="5"/>
        <v>186248082</v>
      </c>
      <c r="Q22" s="130">
        <f t="shared" si="5"/>
        <v>0</v>
      </c>
      <c r="R22" s="130">
        <f t="shared" si="5"/>
        <v>179260000</v>
      </c>
      <c r="S22" s="130">
        <f t="shared" si="5"/>
        <v>26325850</v>
      </c>
      <c r="T22" s="130">
        <f t="shared" si="5"/>
        <v>0</v>
      </c>
      <c r="U22" s="130">
        <f t="shared" si="5"/>
        <v>0</v>
      </c>
    </row>
    <row r="25" spans="10:12" ht="12.75">
      <c r="J25" s="159"/>
      <c r="K25" s="159"/>
      <c r="L25" s="159"/>
    </row>
    <row r="26" spans="10:12" ht="12.75">
      <c r="J26" s="159"/>
      <c r="K26" s="159"/>
      <c r="L26" s="159"/>
    </row>
    <row r="27" spans="10:12" ht="12.75">
      <c r="J27" s="159"/>
      <c r="K27" s="159"/>
      <c r="L27" s="159"/>
    </row>
    <row r="28" spans="10:12" ht="12.75">
      <c r="J28" s="159"/>
      <c r="K28" s="159"/>
      <c r="L28" s="159"/>
    </row>
    <row r="29" spans="10:12" ht="12.75">
      <c r="J29" s="159"/>
      <c r="K29" s="159" t="s">
        <v>315</v>
      </c>
      <c r="L29" s="159"/>
    </row>
  </sheetData>
  <sheetProtection selectLockedCells="1" selectUnlockedCells="1"/>
  <mergeCells count="16">
    <mergeCell ref="A22:C22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2"/>
  <sheetViews>
    <sheetView view="pageBreakPreview" zoomScale="106" zoomScaleNormal="71" zoomScaleSheetLayoutView="106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7.00390625" style="0" customWidth="1"/>
    <col min="5" max="5" width="14.57421875" style="0" customWidth="1"/>
    <col min="6" max="6" width="15.421875" style="0" customWidth="1"/>
    <col min="7" max="7" width="17.00390625" style="0" customWidth="1"/>
    <col min="8" max="12" width="14.57421875" style="0" customWidth="1"/>
    <col min="13" max="13" width="18.8515625" style="0" customWidth="1"/>
    <col min="14" max="14" width="15.7109375" style="0" customWidth="1"/>
    <col min="15" max="15" width="15.140625" style="0" customWidth="1"/>
    <col min="16" max="16" width="17.00390625" style="0" customWidth="1"/>
    <col min="17" max="17" width="12.7109375" style="0" customWidth="1"/>
    <col min="18" max="18" width="18.57421875" style="0" customWidth="1"/>
    <col min="19" max="20" width="12.7109375" style="0" customWidth="1"/>
    <col min="21" max="21" width="14.57421875" style="0" customWidth="1"/>
  </cols>
  <sheetData>
    <row r="1" spans="1:21" ht="18">
      <c r="A1" s="230" t="s">
        <v>1146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898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 customHeight="1">
      <c r="A4" s="236" t="s">
        <v>899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76.5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140</v>
      </c>
      <c r="B10" s="114"/>
      <c r="C10" s="115" t="s">
        <v>34</v>
      </c>
      <c r="D10" s="129">
        <f aca="true" t="shared" si="0" ref="D10:D25">SUM(E10:L10)</f>
        <v>10800000</v>
      </c>
      <c r="E10" s="130">
        <f aca="true" t="shared" si="1" ref="E10:L10">SUM(E11:E22)</f>
        <v>0</v>
      </c>
      <c r="F10" s="130">
        <f t="shared" si="1"/>
        <v>0</v>
      </c>
      <c r="G10" s="130">
        <f t="shared" si="1"/>
        <v>10800000</v>
      </c>
      <c r="H10" s="130">
        <f t="shared" si="1"/>
        <v>0</v>
      </c>
      <c r="I10" s="130">
        <f t="shared" si="1"/>
        <v>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29">
        <f aca="true" t="shared" si="2" ref="M10:M25">SUM(N10:U10)</f>
        <v>137748585</v>
      </c>
      <c r="N10" s="130">
        <f aca="true" t="shared" si="3" ref="N10:U10">SUM(N11:N22)</f>
        <v>2890000</v>
      </c>
      <c r="O10" s="130">
        <f t="shared" si="3"/>
        <v>1213265</v>
      </c>
      <c r="P10" s="130">
        <f t="shared" si="3"/>
        <v>23097335</v>
      </c>
      <c r="Q10" s="130">
        <f t="shared" si="3"/>
        <v>0</v>
      </c>
      <c r="R10" s="130">
        <f t="shared" si="3"/>
        <v>110547985</v>
      </c>
      <c r="S10" s="130">
        <f t="shared" si="3"/>
        <v>0</v>
      </c>
      <c r="T10" s="130">
        <f t="shared" si="3"/>
        <v>0</v>
      </c>
      <c r="U10" s="130">
        <f t="shared" si="3"/>
        <v>0</v>
      </c>
    </row>
    <row r="11" spans="1:21" ht="18">
      <c r="A11" s="114"/>
      <c r="B11" s="114" t="s">
        <v>900</v>
      </c>
      <c r="C11" s="166" t="s">
        <v>901</v>
      </c>
      <c r="D11" s="148">
        <f t="shared" si="0"/>
        <v>200000</v>
      </c>
      <c r="E11" s="133">
        <v>0</v>
      </c>
      <c r="F11" s="133">
        <v>0</v>
      </c>
      <c r="G11" s="133">
        <v>200000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48">
        <f t="shared" si="2"/>
        <v>711898</v>
      </c>
      <c r="N11" s="133">
        <v>0</v>
      </c>
      <c r="O11" s="133">
        <v>0</v>
      </c>
      <c r="P11" s="133">
        <v>200000</v>
      </c>
      <c r="Q11" s="133">
        <v>0</v>
      </c>
      <c r="R11" s="133">
        <v>511898</v>
      </c>
      <c r="S11" s="133">
        <v>0</v>
      </c>
      <c r="T11" s="133">
        <v>0</v>
      </c>
      <c r="U11" s="133">
        <v>0</v>
      </c>
    </row>
    <row r="12" spans="1:21" ht="18">
      <c r="A12" s="114"/>
      <c r="B12" s="114" t="s">
        <v>902</v>
      </c>
      <c r="C12" s="166" t="s">
        <v>903</v>
      </c>
      <c r="D12" s="148">
        <f t="shared" si="0"/>
        <v>200000</v>
      </c>
      <c r="E12" s="133">
        <v>0</v>
      </c>
      <c r="F12" s="133">
        <v>0</v>
      </c>
      <c r="G12" s="133">
        <v>200000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48">
        <f t="shared" si="2"/>
        <v>200000</v>
      </c>
      <c r="N12" s="133">
        <v>0</v>
      </c>
      <c r="O12" s="133">
        <v>0</v>
      </c>
      <c r="P12" s="133">
        <v>107335</v>
      </c>
      <c r="Q12" s="133">
        <v>0</v>
      </c>
      <c r="R12" s="133">
        <v>92665</v>
      </c>
      <c r="S12" s="133">
        <v>0</v>
      </c>
      <c r="T12" s="133">
        <v>0</v>
      </c>
      <c r="U12" s="133">
        <v>0</v>
      </c>
    </row>
    <row r="13" spans="1:21" ht="45">
      <c r="A13" s="114"/>
      <c r="B13" s="114" t="s">
        <v>904</v>
      </c>
      <c r="C13" s="125" t="s">
        <v>905</v>
      </c>
      <c r="D13" s="148">
        <f t="shared" si="0"/>
        <v>100000</v>
      </c>
      <c r="E13" s="133">
        <v>0</v>
      </c>
      <c r="F13" s="133">
        <v>0</v>
      </c>
      <c r="G13" s="133">
        <v>100000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48">
        <f t="shared" si="2"/>
        <v>54943200</v>
      </c>
      <c r="N13" s="133">
        <v>0</v>
      </c>
      <c r="O13" s="133">
        <v>0</v>
      </c>
      <c r="P13" s="133">
        <v>100000</v>
      </c>
      <c r="Q13" s="133">
        <v>0</v>
      </c>
      <c r="R13" s="133">
        <v>54843200</v>
      </c>
      <c r="S13" s="133">
        <v>0</v>
      </c>
      <c r="T13" s="133">
        <v>0</v>
      </c>
      <c r="U13" s="133">
        <v>0</v>
      </c>
    </row>
    <row r="14" spans="1:21" ht="60">
      <c r="A14" s="114"/>
      <c r="B14" s="114" t="s">
        <v>906</v>
      </c>
      <c r="C14" s="125" t="s">
        <v>907</v>
      </c>
      <c r="D14" s="148">
        <f t="shared" si="0"/>
        <v>50000</v>
      </c>
      <c r="E14" s="133">
        <v>0</v>
      </c>
      <c r="F14" s="133">
        <v>0</v>
      </c>
      <c r="G14" s="133">
        <v>50000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48">
        <f t="shared" si="2"/>
        <v>50000</v>
      </c>
      <c r="N14" s="133">
        <v>0</v>
      </c>
      <c r="O14" s="133">
        <v>0</v>
      </c>
      <c r="P14" s="133">
        <v>50000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</row>
    <row r="15" spans="1:21" ht="30">
      <c r="A15" s="114"/>
      <c r="B15" s="114" t="s">
        <v>908</v>
      </c>
      <c r="C15" s="125" t="s">
        <v>909</v>
      </c>
      <c r="D15" s="148">
        <f t="shared" si="0"/>
        <v>50000</v>
      </c>
      <c r="E15" s="133">
        <v>0</v>
      </c>
      <c r="F15" s="133">
        <v>0</v>
      </c>
      <c r="G15" s="133">
        <v>50000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48">
        <f t="shared" si="2"/>
        <v>50000</v>
      </c>
      <c r="N15" s="133">
        <v>0</v>
      </c>
      <c r="O15" s="133">
        <v>0</v>
      </c>
      <c r="P15" s="133">
        <v>50000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</row>
    <row r="16" spans="1:21" ht="45">
      <c r="A16" s="114"/>
      <c r="B16" s="114" t="s">
        <v>910</v>
      </c>
      <c r="C16" s="125" t="s">
        <v>911</v>
      </c>
      <c r="D16" s="148">
        <f t="shared" si="0"/>
        <v>100000</v>
      </c>
      <c r="E16" s="133">
        <v>0</v>
      </c>
      <c r="F16" s="133">
        <v>0</v>
      </c>
      <c r="G16" s="133">
        <v>100000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48">
        <f t="shared" si="2"/>
        <v>100000</v>
      </c>
      <c r="N16" s="133">
        <v>0</v>
      </c>
      <c r="O16" s="133">
        <v>0</v>
      </c>
      <c r="P16" s="133">
        <v>100000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</row>
    <row r="17" spans="1:21" ht="18">
      <c r="A17" s="114"/>
      <c r="B17" s="114" t="s">
        <v>912</v>
      </c>
      <c r="C17" s="125" t="s">
        <v>913</v>
      </c>
      <c r="D17" s="148">
        <f t="shared" si="0"/>
        <v>100000</v>
      </c>
      <c r="E17" s="133">
        <v>0</v>
      </c>
      <c r="F17" s="133">
        <v>0</v>
      </c>
      <c r="G17" s="133">
        <v>100000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48">
        <f t="shared" si="2"/>
        <v>55793487</v>
      </c>
      <c r="N17" s="133">
        <v>0</v>
      </c>
      <c r="O17" s="133">
        <v>593265</v>
      </c>
      <c r="P17" s="133">
        <v>100000</v>
      </c>
      <c r="Q17" s="133">
        <v>0</v>
      </c>
      <c r="R17" s="133">
        <v>55100222</v>
      </c>
      <c r="S17" s="133">
        <v>0</v>
      </c>
      <c r="T17" s="133">
        <v>0</v>
      </c>
      <c r="U17" s="133">
        <v>0</v>
      </c>
    </row>
    <row r="18" spans="1:21" ht="18">
      <c r="A18" s="114"/>
      <c r="B18" s="114" t="s">
        <v>914</v>
      </c>
      <c r="C18" s="125" t="s">
        <v>915</v>
      </c>
      <c r="D18" s="148">
        <f t="shared" si="0"/>
        <v>10000000</v>
      </c>
      <c r="E18" s="133">
        <v>0</v>
      </c>
      <c r="F18" s="133">
        <v>0</v>
      </c>
      <c r="G18" s="133">
        <v>10000000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48">
        <f t="shared" si="2"/>
        <v>10000000</v>
      </c>
      <c r="N18" s="133">
        <v>50000</v>
      </c>
      <c r="O18" s="133">
        <v>20000</v>
      </c>
      <c r="P18" s="133">
        <v>9930000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</row>
    <row r="19" spans="1:21" ht="18">
      <c r="A19" s="114"/>
      <c r="B19" s="114" t="s">
        <v>916</v>
      </c>
      <c r="C19" s="125" t="s">
        <v>917</v>
      </c>
      <c r="D19" s="148">
        <f t="shared" si="0"/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48">
        <f t="shared" si="2"/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</row>
    <row r="20" spans="1:21" ht="18">
      <c r="A20" s="114"/>
      <c r="B20" s="114" t="s">
        <v>918</v>
      </c>
      <c r="C20" s="125" t="s">
        <v>919</v>
      </c>
      <c r="D20" s="148">
        <f t="shared" si="0"/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48">
        <f t="shared" si="2"/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</row>
    <row r="21" spans="1:21" ht="30">
      <c r="A21" s="114"/>
      <c r="B21" s="114" t="s">
        <v>920</v>
      </c>
      <c r="C21" s="125" t="s">
        <v>921</v>
      </c>
      <c r="D21" s="148">
        <f t="shared" si="0"/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48">
        <f t="shared" si="2"/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</row>
    <row r="22" spans="1:21" ht="30">
      <c r="A22" s="114"/>
      <c r="B22" s="114" t="s">
        <v>922</v>
      </c>
      <c r="C22" s="125" t="s">
        <v>1082</v>
      </c>
      <c r="D22" s="148">
        <f t="shared" si="0"/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48">
        <f t="shared" si="2"/>
        <v>15900000</v>
      </c>
      <c r="N22" s="133">
        <v>2840000</v>
      </c>
      <c r="O22" s="133">
        <v>600000</v>
      </c>
      <c r="P22" s="133">
        <v>12460000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</row>
    <row r="23" spans="1:21" ht="18">
      <c r="A23" s="114" t="s">
        <v>141</v>
      </c>
      <c r="B23" s="114"/>
      <c r="C23" s="115" t="s">
        <v>36</v>
      </c>
      <c r="D23" s="129">
        <f t="shared" si="0"/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29">
        <f t="shared" si="2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</row>
    <row r="24" spans="1:21" ht="18">
      <c r="A24" s="114" t="s">
        <v>142</v>
      </c>
      <c r="B24" s="114"/>
      <c r="C24" s="115" t="s">
        <v>38</v>
      </c>
      <c r="D24" s="129">
        <f t="shared" si="0"/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29">
        <v>0</v>
      </c>
      <c r="M24" s="129">
        <f t="shared" si="2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29">
        <v>0</v>
      </c>
    </row>
    <row r="25" spans="1:21" ht="18" customHeight="1">
      <c r="A25" s="222" t="s">
        <v>364</v>
      </c>
      <c r="B25" s="222"/>
      <c r="C25" s="222"/>
      <c r="D25" s="129">
        <f t="shared" si="0"/>
        <v>10800000</v>
      </c>
      <c r="E25" s="130">
        <f aca="true" t="shared" si="4" ref="E25:L25">E10+E23+E24</f>
        <v>0</v>
      </c>
      <c r="F25" s="130">
        <f t="shared" si="4"/>
        <v>0</v>
      </c>
      <c r="G25" s="130">
        <f t="shared" si="4"/>
        <v>10800000</v>
      </c>
      <c r="H25" s="130">
        <f t="shared" si="4"/>
        <v>0</v>
      </c>
      <c r="I25" s="130">
        <f t="shared" si="4"/>
        <v>0</v>
      </c>
      <c r="J25" s="130">
        <f t="shared" si="4"/>
        <v>0</v>
      </c>
      <c r="K25" s="130">
        <f t="shared" si="4"/>
        <v>0</v>
      </c>
      <c r="L25" s="130">
        <f t="shared" si="4"/>
        <v>0</v>
      </c>
      <c r="M25" s="129">
        <f t="shared" si="2"/>
        <v>137748585</v>
      </c>
      <c r="N25" s="130">
        <f aca="true" t="shared" si="5" ref="N25:U25">N10+N23+N24</f>
        <v>2890000</v>
      </c>
      <c r="O25" s="130">
        <f t="shared" si="5"/>
        <v>1213265</v>
      </c>
      <c r="P25" s="130">
        <f t="shared" si="5"/>
        <v>23097335</v>
      </c>
      <c r="Q25" s="130">
        <f t="shared" si="5"/>
        <v>0</v>
      </c>
      <c r="R25" s="130">
        <f t="shared" si="5"/>
        <v>110547985</v>
      </c>
      <c r="S25" s="130">
        <f t="shared" si="5"/>
        <v>0</v>
      </c>
      <c r="T25" s="130">
        <f t="shared" si="5"/>
        <v>0</v>
      </c>
      <c r="U25" s="130">
        <f t="shared" si="5"/>
        <v>0</v>
      </c>
    </row>
    <row r="26" ht="12.75">
      <c r="M26" s="159"/>
    </row>
    <row r="27" ht="12.75">
      <c r="M27" s="159"/>
    </row>
    <row r="28" spans="10:13" ht="12.75">
      <c r="J28" s="159"/>
      <c r="K28" s="159"/>
      <c r="L28" s="159"/>
      <c r="M28" s="159"/>
    </row>
    <row r="29" spans="10:13" ht="12.75">
      <c r="J29" s="159"/>
      <c r="K29" s="159"/>
      <c r="L29" s="159"/>
      <c r="M29" s="159"/>
    </row>
    <row r="30" spans="10:13" ht="12.75">
      <c r="J30" s="159"/>
      <c r="K30" s="159"/>
      <c r="L30" s="159"/>
      <c r="M30" s="159"/>
    </row>
    <row r="31" spans="10:12" ht="12.75">
      <c r="J31" s="159"/>
      <c r="K31" s="159"/>
      <c r="L31" s="159"/>
    </row>
    <row r="32" spans="10:12" ht="12.75">
      <c r="J32" s="159"/>
      <c r="K32" s="159" t="s">
        <v>315</v>
      </c>
      <c r="L32" s="159"/>
    </row>
  </sheetData>
  <sheetProtection selectLockedCells="1" selectUnlockedCells="1"/>
  <mergeCells count="16">
    <mergeCell ref="A25:C25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1"/>
  <sheetViews>
    <sheetView view="pageBreakPreview" zoomScale="112" zoomScaleNormal="71" zoomScaleSheetLayoutView="112" zoomScalePageLayoutView="0" workbookViewId="0" topLeftCell="A1">
      <selection activeCell="A1" sqref="A1:U1"/>
    </sheetView>
  </sheetViews>
  <sheetFormatPr defaultColWidth="9.00390625" defaultRowHeight="12.75"/>
  <cols>
    <col min="1" max="1" width="6.57421875" style="135" customWidth="1"/>
    <col min="2" max="2" width="8.8515625" style="135" customWidth="1"/>
    <col min="3" max="3" width="42.421875" style="135" customWidth="1"/>
    <col min="4" max="4" width="20.00390625" style="135" customWidth="1"/>
    <col min="5" max="5" width="15.140625" style="135" customWidth="1"/>
    <col min="6" max="6" width="14.57421875" style="135" customWidth="1"/>
    <col min="7" max="7" width="19.7109375" style="135" customWidth="1"/>
    <col min="8" max="8" width="13.28125" style="135" customWidth="1"/>
    <col min="9" max="9" width="14.421875" style="135" customWidth="1"/>
    <col min="10" max="10" width="21.00390625" style="135" customWidth="1"/>
    <col min="11" max="11" width="18.7109375" style="135" customWidth="1"/>
    <col min="12" max="12" width="17.7109375" style="135" customWidth="1"/>
    <col min="13" max="13" width="18.7109375" style="135" customWidth="1"/>
    <col min="14" max="14" width="16.140625" style="135" customWidth="1"/>
    <col min="15" max="15" width="17.28125" style="135" customWidth="1"/>
    <col min="16" max="16" width="18.421875" style="135" customWidth="1"/>
    <col min="17" max="17" width="15.7109375" style="135" customWidth="1"/>
    <col min="18" max="18" width="14.28125" style="135" customWidth="1"/>
    <col min="19" max="19" width="21.00390625" style="135" customWidth="1"/>
    <col min="20" max="21" width="17.00390625" style="135" customWidth="1"/>
    <col min="22" max="16384" width="9.00390625" style="135" customWidth="1"/>
  </cols>
  <sheetData>
    <row r="1" spans="1:21" ht="18">
      <c r="A1" s="230" t="s">
        <v>1147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923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924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89.25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145</v>
      </c>
      <c r="B10" s="114"/>
      <c r="C10" s="167" t="s">
        <v>34</v>
      </c>
      <c r="D10" s="129">
        <f aca="true" t="shared" si="0" ref="D10:D33">SUM(E10:L10)</f>
        <v>2111617769</v>
      </c>
      <c r="E10" s="130">
        <f aca="true" t="shared" si="1" ref="E10:L10">SUM(E11:E30)</f>
        <v>0</v>
      </c>
      <c r="F10" s="130">
        <f t="shared" si="1"/>
        <v>0</v>
      </c>
      <c r="G10" s="130">
        <f t="shared" si="1"/>
        <v>490638501</v>
      </c>
      <c r="H10" s="130">
        <f t="shared" si="1"/>
        <v>0</v>
      </c>
      <c r="I10" s="130">
        <f t="shared" si="1"/>
        <v>0</v>
      </c>
      <c r="J10" s="130">
        <f t="shared" si="1"/>
        <v>1587000000</v>
      </c>
      <c r="K10" s="130">
        <f t="shared" si="1"/>
        <v>23979268</v>
      </c>
      <c r="L10" s="130">
        <f t="shared" si="1"/>
        <v>10000000</v>
      </c>
      <c r="M10" s="129">
        <f aca="true" t="shared" si="2" ref="M10:M33">SUM(N10:U10)</f>
        <v>2224370274</v>
      </c>
      <c r="N10" s="130">
        <f aca="true" t="shared" si="3" ref="N10:U10">SUM(N11:N30)</f>
        <v>0</v>
      </c>
      <c r="O10" s="130">
        <f t="shared" si="3"/>
        <v>0</v>
      </c>
      <c r="P10" s="130">
        <f t="shared" si="3"/>
        <v>552479468</v>
      </c>
      <c r="Q10" s="130">
        <f t="shared" si="3"/>
        <v>0</v>
      </c>
      <c r="R10" s="130">
        <f t="shared" si="3"/>
        <v>0</v>
      </c>
      <c r="S10" s="130">
        <f t="shared" si="3"/>
        <v>1636535368</v>
      </c>
      <c r="T10" s="130">
        <f t="shared" si="3"/>
        <v>22855438</v>
      </c>
      <c r="U10" s="130">
        <f t="shared" si="3"/>
        <v>12500000</v>
      </c>
    </row>
    <row r="11" spans="1:21" ht="18">
      <c r="A11" s="114"/>
      <c r="B11" s="114" t="s">
        <v>925</v>
      </c>
      <c r="C11" s="166" t="s">
        <v>926</v>
      </c>
      <c r="D11" s="148">
        <f t="shared" si="0"/>
        <v>137000000</v>
      </c>
      <c r="E11" s="133">
        <v>0</v>
      </c>
      <c r="F11" s="133">
        <v>0</v>
      </c>
      <c r="G11" s="133">
        <v>134000000</v>
      </c>
      <c r="H11" s="133">
        <v>0</v>
      </c>
      <c r="I11" s="133">
        <v>0</v>
      </c>
      <c r="J11" s="133">
        <v>3000000</v>
      </c>
      <c r="K11" s="133">
        <v>0</v>
      </c>
      <c r="L11" s="133">
        <v>0</v>
      </c>
      <c r="M11" s="148">
        <f t="shared" si="2"/>
        <v>157991250</v>
      </c>
      <c r="N11" s="133">
        <v>0</v>
      </c>
      <c r="O11" s="133">
        <v>0</v>
      </c>
      <c r="P11" s="133">
        <v>154991250</v>
      </c>
      <c r="Q11" s="133">
        <v>0</v>
      </c>
      <c r="R11" s="133">
        <v>0</v>
      </c>
      <c r="S11" s="133">
        <v>3000000</v>
      </c>
      <c r="T11" s="133">
        <v>0</v>
      </c>
      <c r="U11" s="133">
        <v>0</v>
      </c>
    </row>
    <row r="12" spans="1:21" ht="18">
      <c r="A12" s="114"/>
      <c r="B12" s="114" t="s">
        <v>927</v>
      </c>
      <c r="C12" s="166" t="s">
        <v>928</v>
      </c>
      <c r="D12" s="148">
        <f t="shared" si="0"/>
        <v>30000000</v>
      </c>
      <c r="E12" s="133">
        <v>0</v>
      </c>
      <c r="F12" s="133">
        <v>0</v>
      </c>
      <c r="G12" s="133">
        <v>25000000</v>
      </c>
      <c r="H12" s="133">
        <v>0</v>
      </c>
      <c r="I12" s="133">
        <v>0</v>
      </c>
      <c r="J12" s="133">
        <v>5000000</v>
      </c>
      <c r="K12" s="133">
        <v>0</v>
      </c>
      <c r="L12" s="133">
        <v>0</v>
      </c>
      <c r="M12" s="148">
        <f t="shared" si="2"/>
        <v>35605317</v>
      </c>
      <c r="N12" s="133">
        <v>0</v>
      </c>
      <c r="O12" s="133">
        <v>0</v>
      </c>
      <c r="P12" s="133">
        <v>27011529</v>
      </c>
      <c r="Q12" s="133">
        <v>0</v>
      </c>
      <c r="R12" s="133">
        <v>0</v>
      </c>
      <c r="S12" s="133">
        <v>5000000</v>
      </c>
      <c r="T12" s="133">
        <v>3593788</v>
      </c>
      <c r="U12" s="133">
        <v>0</v>
      </c>
    </row>
    <row r="13" spans="1:21" ht="30">
      <c r="A13" s="114"/>
      <c r="B13" s="114" t="s">
        <v>929</v>
      </c>
      <c r="C13" s="166" t="s">
        <v>930</v>
      </c>
      <c r="D13" s="148">
        <f t="shared" si="0"/>
        <v>64300000</v>
      </c>
      <c r="E13" s="133">
        <v>0</v>
      </c>
      <c r="F13" s="133">
        <v>0</v>
      </c>
      <c r="G13" s="133">
        <v>64300000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48">
        <f t="shared" si="2"/>
        <v>75622628</v>
      </c>
      <c r="N13" s="133">
        <v>0</v>
      </c>
      <c r="O13" s="133">
        <v>0</v>
      </c>
      <c r="P13" s="133">
        <v>75622628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</row>
    <row r="14" spans="1:21" ht="18">
      <c r="A14" s="114"/>
      <c r="B14" s="114" t="s">
        <v>931</v>
      </c>
      <c r="C14" s="166" t="s">
        <v>932</v>
      </c>
      <c r="D14" s="148">
        <f t="shared" si="0"/>
        <v>4572581</v>
      </c>
      <c r="E14" s="133">
        <v>0</v>
      </c>
      <c r="F14" s="133">
        <v>0</v>
      </c>
      <c r="G14" s="133">
        <v>4572581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48">
        <f t="shared" si="2"/>
        <v>4750381</v>
      </c>
      <c r="N14" s="133">
        <v>0</v>
      </c>
      <c r="O14" s="133">
        <v>0</v>
      </c>
      <c r="P14" s="133">
        <f>4750381-1750060</f>
        <v>3000321</v>
      </c>
      <c r="Q14" s="133">
        <v>0</v>
      </c>
      <c r="R14" s="133">
        <v>0</v>
      </c>
      <c r="S14" s="133">
        <f>1750060</f>
        <v>1750060</v>
      </c>
      <c r="T14" s="133">
        <v>0</v>
      </c>
      <c r="U14" s="133">
        <v>0</v>
      </c>
    </row>
    <row r="15" spans="1:21" ht="18">
      <c r="A15" s="114"/>
      <c r="B15" s="114" t="s">
        <v>933</v>
      </c>
      <c r="C15" s="166" t="s">
        <v>934</v>
      </c>
      <c r="D15" s="148">
        <f t="shared" si="0"/>
        <v>106884939</v>
      </c>
      <c r="E15" s="133">
        <v>0</v>
      </c>
      <c r="F15" s="133">
        <v>0</v>
      </c>
      <c r="G15" s="133">
        <v>106884939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48">
        <f t="shared" si="2"/>
        <v>119979525</v>
      </c>
      <c r="N15" s="133">
        <v>0</v>
      </c>
      <c r="O15" s="133">
        <v>0</v>
      </c>
      <c r="P15" s="133">
        <v>119979525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</row>
    <row r="16" spans="1:21" ht="30">
      <c r="A16" s="114"/>
      <c r="B16" s="114" t="s">
        <v>935</v>
      </c>
      <c r="C16" s="166" t="s">
        <v>936</v>
      </c>
      <c r="D16" s="148">
        <f t="shared" si="0"/>
        <v>10000000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10000000</v>
      </c>
      <c r="M16" s="148">
        <f t="shared" si="2"/>
        <v>12500000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12500000</v>
      </c>
    </row>
    <row r="17" spans="1:21" ht="18">
      <c r="A17" s="114"/>
      <c r="B17" s="114" t="s">
        <v>937</v>
      </c>
      <c r="C17" s="166" t="s">
        <v>938</v>
      </c>
      <c r="D17" s="148">
        <f t="shared" si="0"/>
        <v>18000000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18000000</v>
      </c>
      <c r="K17" s="133">
        <v>0</v>
      </c>
      <c r="L17" s="133">
        <v>0</v>
      </c>
      <c r="M17" s="148">
        <f t="shared" si="2"/>
        <v>20476620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20476620</v>
      </c>
      <c r="T17" s="133">
        <v>0</v>
      </c>
      <c r="U17" s="133">
        <v>0</v>
      </c>
    </row>
    <row r="18" spans="1:21" ht="30">
      <c r="A18" s="114"/>
      <c r="B18" s="114" t="s">
        <v>939</v>
      </c>
      <c r="C18" s="166" t="s">
        <v>940</v>
      </c>
      <c r="D18" s="148">
        <f t="shared" si="0"/>
        <v>1521000000</v>
      </c>
      <c r="E18" s="133">
        <v>0</v>
      </c>
      <c r="F18" s="133">
        <v>0</v>
      </c>
      <c r="G18" s="133">
        <v>5000000</v>
      </c>
      <c r="H18" s="133">
        <v>0</v>
      </c>
      <c r="I18" s="133">
        <v>0</v>
      </c>
      <c r="J18" s="133">
        <v>1516000000</v>
      </c>
      <c r="K18" s="133">
        <v>0</v>
      </c>
      <c r="L18" s="133">
        <v>0</v>
      </c>
      <c r="M18" s="148">
        <f t="shared" si="2"/>
        <v>1547319610</v>
      </c>
      <c r="N18" s="133">
        <v>0</v>
      </c>
      <c r="O18" s="133">
        <v>0</v>
      </c>
      <c r="P18" s="133">
        <f>6071887+5000000</f>
        <v>11071887</v>
      </c>
      <c r="Q18" s="133">
        <v>0</v>
      </c>
      <c r="R18" s="133">
        <v>0</v>
      </c>
      <c r="S18" s="133">
        <f>1681247723-140000000-5000000</f>
        <v>1536247723</v>
      </c>
      <c r="T18" s="133">
        <v>0</v>
      </c>
      <c r="U18" s="133">
        <v>0</v>
      </c>
    </row>
    <row r="19" spans="1:21" ht="45">
      <c r="A19" s="114"/>
      <c r="B19" s="114" t="s">
        <v>941</v>
      </c>
      <c r="C19" s="166" t="s">
        <v>942</v>
      </c>
      <c r="D19" s="148">
        <f t="shared" si="0"/>
        <v>42000000</v>
      </c>
      <c r="E19" s="133">
        <v>0</v>
      </c>
      <c r="F19" s="133">
        <v>0</v>
      </c>
      <c r="G19" s="133">
        <v>2000000</v>
      </c>
      <c r="H19" s="133">
        <v>0</v>
      </c>
      <c r="I19" s="133">
        <v>0</v>
      </c>
      <c r="J19" s="133">
        <v>40000000</v>
      </c>
      <c r="K19" s="133">
        <v>0</v>
      </c>
      <c r="L19" s="133">
        <v>0</v>
      </c>
      <c r="M19" s="148">
        <f t="shared" si="2"/>
        <v>42000000</v>
      </c>
      <c r="N19" s="133">
        <v>0</v>
      </c>
      <c r="O19" s="133">
        <v>0</v>
      </c>
      <c r="P19" s="133">
        <v>2000000</v>
      </c>
      <c r="Q19" s="133">
        <v>0</v>
      </c>
      <c r="R19" s="133">
        <v>0</v>
      </c>
      <c r="S19" s="133">
        <v>40000000</v>
      </c>
      <c r="T19" s="133">
        <v>0</v>
      </c>
      <c r="U19" s="133">
        <v>0</v>
      </c>
    </row>
    <row r="20" spans="1:21" ht="18">
      <c r="A20" s="114"/>
      <c r="B20" s="114" t="s">
        <v>943</v>
      </c>
      <c r="C20" s="166" t="s">
        <v>944</v>
      </c>
      <c r="D20" s="148">
        <f t="shared" si="0"/>
        <v>77033827</v>
      </c>
      <c r="E20" s="133">
        <v>0</v>
      </c>
      <c r="F20" s="133">
        <v>0</v>
      </c>
      <c r="G20" s="133">
        <v>77033827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48">
        <f t="shared" si="2"/>
        <v>84538339</v>
      </c>
      <c r="N20" s="133">
        <v>0</v>
      </c>
      <c r="O20" s="133">
        <v>0</v>
      </c>
      <c r="P20" s="133">
        <v>84538339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</row>
    <row r="21" spans="1:21" ht="60">
      <c r="A21" s="114"/>
      <c r="B21" s="114" t="s">
        <v>945</v>
      </c>
      <c r="C21" s="166" t="s">
        <v>946</v>
      </c>
      <c r="D21" s="148">
        <f t="shared" si="0"/>
        <v>10115644</v>
      </c>
      <c r="E21" s="133">
        <v>0</v>
      </c>
      <c r="F21" s="133">
        <v>0</v>
      </c>
      <c r="G21" s="133">
        <v>10115644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48">
        <f t="shared" si="2"/>
        <v>10451986</v>
      </c>
      <c r="N21" s="133">
        <v>0</v>
      </c>
      <c r="O21" s="133">
        <v>0</v>
      </c>
      <c r="P21" s="133">
        <v>10451986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</row>
    <row r="22" spans="1:21" ht="30">
      <c r="A22" s="114"/>
      <c r="B22" s="114" t="s">
        <v>947</v>
      </c>
      <c r="C22" s="166" t="s">
        <v>948</v>
      </c>
      <c r="D22" s="148">
        <f t="shared" si="0"/>
        <v>8019792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8019792</v>
      </c>
      <c r="L22" s="133">
        <v>0</v>
      </c>
      <c r="M22" s="148">
        <f t="shared" si="2"/>
        <v>8761650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8761650</v>
      </c>
      <c r="U22" s="133">
        <v>0</v>
      </c>
    </row>
    <row r="23" spans="1:21" ht="30">
      <c r="A23" s="114"/>
      <c r="B23" s="114" t="s">
        <v>949</v>
      </c>
      <c r="C23" s="166" t="s">
        <v>950</v>
      </c>
      <c r="D23" s="148">
        <f t="shared" si="0"/>
        <v>5459476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5459476</v>
      </c>
      <c r="L23" s="133">
        <v>0</v>
      </c>
      <c r="M23" s="148">
        <f t="shared" si="2"/>
        <v>5459476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5459476</v>
      </c>
      <c r="T23" s="133">
        <f>5459476-5459476</f>
        <v>0</v>
      </c>
      <c r="U23" s="133">
        <v>0</v>
      </c>
    </row>
    <row r="24" spans="1:21" ht="30">
      <c r="A24" s="114"/>
      <c r="B24" s="114" t="s">
        <v>951</v>
      </c>
      <c r="C24" s="166" t="s">
        <v>952</v>
      </c>
      <c r="D24" s="148">
        <f t="shared" si="0"/>
        <v>10500000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10500000</v>
      </c>
      <c r="L24" s="133">
        <v>0</v>
      </c>
      <c r="M24" s="148">
        <f t="shared" si="2"/>
        <v>10500000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10500000</v>
      </c>
      <c r="U24" s="133">
        <v>0</v>
      </c>
    </row>
    <row r="25" spans="1:21" ht="30">
      <c r="A25" s="114"/>
      <c r="B25" s="114" t="s">
        <v>953</v>
      </c>
      <c r="C25" s="166" t="s">
        <v>954</v>
      </c>
      <c r="D25" s="148">
        <f t="shared" si="0"/>
        <v>26000000</v>
      </c>
      <c r="E25" s="133">
        <v>0</v>
      </c>
      <c r="F25" s="133">
        <v>0</v>
      </c>
      <c r="G25" s="133">
        <v>26000000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48">
        <f t="shared" si="2"/>
        <v>26087485</v>
      </c>
      <c r="N25" s="133">
        <v>0</v>
      </c>
      <c r="O25" s="133">
        <v>0</v>
      </c>
      <c r="P25" s="133">
        <v>26087485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</row>
    <row r="26" spans="1:21" ht="30">
      <c r="A26" s="114"/>
      <c r="B26" s="114" t="s">
        <v>955</v>
      </c>
      <c r="C26" s="166" t="s">
        <v>956</v>
      </c>
      <c r="D26" s="148">
        <f t="shared" si="0"/>
        <v>10000000</v>
      </c>
      <c r="E26" s="133">
        <v>0</v>
      </c>
      <c r="F26" s="133">
        <v>0</v>
      </c>
      <c r="G26" s="133">
        <v>10000000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48">
        <f t="shared" si="2"/>
        <v>11993008</v>
      </c>
      <c r="N26" s="133">
        <v>0</v>
      </c>
      <c r="O26" s="133">
        <v>0</v>
      </c>
      <c r="P26" s="133">
        <v>11993008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</row>
    <row r="27" spans="1:21" ht="30">
      <c r="A27" s="114"/>
      <c r="B27" s="114" t="s">
        <v>957</v>
      </c>
      <c r="C27" s="166" t="s">
        <v>958</v>
      </c>
      <c r="D27" s="148">
        <f t="shared" si="0"/>
        <v>20000000</v>
      </c>
      <c r="E27" s="133">
        <v>0</v>
      </c>
      <c r="F27" s="133">
        <v>0</v>
      </c>
      <c r="G27" s="133">
        <v>20000000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48">
        <f t="shared" si="2"/>
        <v>20000000</v>
      </c>
      <c r="N27" s="133">
        <v>0</v>
      </c>
      <c r="O27" s="133">
        <v>0</v>
      </c>
      <c r="P27" s="133">
        <v>20000000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</row>
    <row r="28" spans="1:21" ht="30">
      <c r="A28" s="114"/>
      <c r="B28" s="114" t="s">
        <v>959</v>
      </c>
      <c r="C28" s="166" t="s">
        <v>960</v>
      </c>
      <c r="D28" s="148">
        <f t="shared" si="0"/>
        <v>3191510</v>
      </c>
      <c r="E28" s="133">
        <v>0</v>
      </c>
      <c r="F28" s="133">
        <v>0</v>
      </c>
      <c r="G28" s="133">
        <v>3191510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48">
        <f t="shared" si="2"/>
        <v>3191510</v>
      </c>
      <c r="N28" s="133">
        <v>0</v>
      </c>
      <c r="O28" s="133">
        <v>0</v>
      </c>
      <c r="P28" s="133">
        <v>3191510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</row>
    <row r="29" spans="1:21" ht="30">
      <c r="A29" s="114"/>
      <c r="B29" s="114" t="s">
        <v>961</v>
      </c>
      <c r="C29" s="166" t="s">
        <v>962</v>
      </c>
      <c r="D29" s="148">
        <f t="shared" si="0"/>
        <v>5000000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5000000</v>
      </c>
      <c r="K29" s="133">
        <v>0</v>
      </c>
      <c r="L29" s="133">
        <v>0</v>
      </c>
      <c r="M29" s="148">
        <f t="shared" si="2"/>
        <v>24601489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f>5000000+19601489</f>
        <v>24601489</v>
      </c>
      <c r="T29" s="133">
        <v>0</v>
      </c>
      <c r="U29" s="133">
        <v>0</v>
      </c>
    </row>
    <row r="30" spans="1:21" ht="30">
      <c r="A30" s="114"/>
      <c r="B30" s="114" t="s">
        <v>963</v>
      </c>
      <c r="C30" s="166" t="s">
        <v>964</v>
      </c>
      <c r="D30" s="148">
        <f t="shared" si="0"/>
        <v>2540000</v>
      </c>
      <c r="E30" s="133">
        <v>0</v>
      </c>
      <c r="F30" s="133">
        <v>0</v>
      </c>
      <c r="G30" s="133">
        <v>2540000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48">
        <f t="shared" si="2"/>
        <v>2540000</v>
      </c>
      <c r="N30" s="133">
        <v>0</v>
      </c>
      <c r="O30" s="133">
        <v>0</v>
      </c>
      <c r="P30" s="133">
        <v>2540000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</row>
    <row r="31" spans="1:21" ht="18">
      <c r="A31" s="114" t="s">
        <v>146</v>
      </c>
      <c r="B31" s="114"/>
      <c r="C31" s="115" t="s">
        <v>36</v>
      </c>
      <c r="D31" s="129">
        <f t="shared" si="0"/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29">
        <v>0</v>
      </c>
      <c r="M31" s="129">
        <f t="shared" si="2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29">
        <v>0</v>
      </c>
    </row>
    <row r="32" spans="1:21" ht="18">
      <c r="A32" s="114" t="s">
        <v>147</v>
      </c>
      <c r="B32" s="114"/>
      <c r="C32" s="115" t="s">
        <v>38</v>
      </c>
      <c r="D32" s="129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29">
        <v>0</v>
      </c>
      <c r="M32" s="129">
        <f t="shared" si="2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29">
        <v>0</v>
      </c>
    </row>
    <row r="33" spans="1:21" ht="18" customHeight="1">
      <c r="A33" s="222" t="s">
        <v>364</v>
      </c>
      <c r="B33" s="222"/>
      <c r="C33" s="222"/>
      <c r="D33" s="129">
        <f t="shared" si="0"/>
        <v>2111617769</v>
      </c>
      <c r="E33" s="130">
        <f aca="true" t="shared" si="4" ref="E33:L33">E10+E31+E32</f>
        <v>0</v>
      </c>
      <c r="F33" s="130">
        <f t="shared" si="4"/>
        <v>0</v>
      </c>
      <c r="G33" s="130">
        <f t="shared" si="4"/>
        <v>490638501</v>
      </c>
      <c r="H33" s="130">
        <f t="shared" si="4"/>
        <v>0</v>
      </c>
      <c r="I33" s="130">
        <f t="shared" si="4"/>
        <v>0</v>
      </c>
      <c r="J33" s="130">
        <f t="shared" si="4"/>
        <v>1587000000</v>
      </c>
      <c r="K33" s="130">
        <f t="shared" si="4"/>
        <v>23979268</v>
      </c>
      <c r="L33" s="130">
        <f t="shared" si="4"/>
        <v>10000000</v>
      </c>
      <c r="M33" s="129">
        <f t="shared" si="2"/>
        <v>2224370274</v>
      </c>
      <c r="N33" s="130">
        <f aca="true" t="shared" si="5" ref="N33:U33">N10+N31+N32</f>
        <v>0</v>
      </c>
      <c r="O33" s="130">
        <f t="shared" si="5"/>
        <v>0</v>
      </c>
      <c r="P33" s="130">
        <f t="shared" si="5"/>
        <v>552479468</v>
      </c>
      <c r="Q33" s="130">
        <f t="shared" si="5"/>
        <v>0</v>
      </c>
      <c r="R33" s="130">
        <f t="shared" si="5"/>
        <v>0</v>
      </c>
      <c r="S33" s="130">
        <f t="shared" si="5"/>
        <v>1636535368</v>
      </c>
      <c r="T33" s="130">
        <f t="shared" si="5"/>
        <v>22855438</v>
      </c>
      <c r="U33" s="130">
        <f t="shared" si="5"/>
        <v>12500000</v>
      </c>
    </row>
    <row r="36" spans="11:12" ht="12.75">
      <c r="K36" s="168"/>
      <c r="L36" s="168"/>
    </row>
    <row r="37" spans="11:12" ht="12.75">
      <c r="K37" s="168"/>
      <c r="L37" s="168"/>
    </row>
    <row r="38" spans="11:12" ht="12.75">
      <c r="K38" s="168"/>
      <c r="L38" s="168"/>
    </row>
    <row r="39" spans="11:12" ht="12.75">
      <c r="K39" s="168"/>
      <c r="L39" s="168"/>
    </row>
    <row r="40" spans="11:12" ht="12.75">
      <c r="K40" s="168"/>
      <c r="L40" s="168"/>
    </row>
    <row r="41" spans="11:12" ht="12.75">
      <c r="K41" s="168"/>
      <c r="L41" s="168" t="s">
        <v>315</v>
      </c>
    </row>
  </sheetData>
  <sheetProtection selectLockedCells="1" selectUnlockedCells="1"/>
  <mergeCells count="16">
    <mergeCell ref="A33:C33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Z26"/>
  <sheetViews>
    <sheetView view="pageBreakPreview" zoomScale="93" zoomScaleNormal="74" zoomScaleSheetLayoutView="93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3" customWidth="1"/>
    <col min="2" max="2" width="5.57421875" style="33" customWidth="1"/>
    <col min="3" max="3" width="14.28125" style="33" customWidth="1"/>
    <col min="4" max="4" width="13.57421875" style="33" customWidth="1"/>
    <col min="5" max="5" width="15.28125" style="33" customWidth="1"/>
    <col min="6" max="6" width="11.57421875" style="33" customWidth="1"/>
    <col min="7" max="7" width="6.140625" style="33" customWidth="1"/>
    <col min="8" max="8" width="16.00390625" style="33" customWidth="1"/>
    <col min="9" max="9" width="13.00390625" style="33" customWidth="1"/>
    <col min="10" max="13" width="12.421875" style="33" customWidth="1"/>
    <col min="14" max="14" width="13.7109375" style="33" customWidth="1"/>
    <col min="15" max="15" width="13.57421875" style="33" customWidth="1"/>
    <col min="16" max="16" width="16.421875" style="33" customWidth="1"/>
    <col min="17" max="17" width="15.7109375" style="33" customWidth="1"/>
    <col min="18" max="21" width="12.57421875" style="33" customWidth="1"/>
    <col min="22" max="22" width="15.7109375" style="33" customWidth="1"/>
    <col min="23" max="23" width="14.28125" style="33" customWidth="1"/>
    <col min="24" max="24" width="16.8515625" style="33" customWidth="1"/>
    <col min="25" max="25" width="15.7109375" style="33" customWidth="1"/>
    <col min="26" max="182" width="9.140625" style="33" customWidth="1"/>
    <col min="183" max="208" width="9.140625" style="34" customWidth="1"/>
  </cols>
  <sheetData>
    <row r="1" spans="1:234" ht="13.5" customHeight="1">
      <c r="A1" s="203" t="s">
        <v>1133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T1" s="35"/>
      <c r="GU1" s="35"/>
      <c r="GV1" s="35"/>
      <c r="GW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</row>
    <row r="2" spans="1:234" ht="13.5" customHeight="1">
      <c r="A2" s="195" t="s">
        <v>1033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T2" s="35"/>
      <c r="GU2" s="35"/>
      <c r="GV2" s="35"/>
      <c r="GW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</row>
    <row r="3" spans="1:234" ht="13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37"/>
      <c r="S3" s="37"/>
      <c r="T3" s="37"/>
      <c r="U3" s="37"/>
      <c r="V3" s="37"/>
      <c r="W3" s="37"/>
      <c r="X3" s="37"/>
      <c r="Y3" s="175" t="s">
        <v>170</v>
      </c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T3" s="35"/>
      <c r="GU3" s="35"/>
      <c r="GV3" s="35"/>
      <c r="GW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</row>
    <row r="4" spans="1:234" ht="20.25" customHeight="1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T4" s="35"/>
      <c r="GU4" s="35"/>
      <c r="GV4" s="35"/>
      <c r="GW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</row>
    <row r="5" spans="1:25" s="35" customFormat="1" ht="20.25" customHeight="1">
      <c r="A5" s="205" t="s">
        <v>172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3:25" s="35" customFormat="1" ht="13.5" customHeight="1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40"/>
      <c r="S6" s="40"/>
      <c r="T6" s="40"/>
      <c r="U6" s="40"/>
      <c r="V6" s="40"/>
      <c r="W6" s="40"/>
      <c r="X6" s="40"/>
      <c r="Y6" s="39" t="s">
        <v>1</v>
      </c>
    </row>
    <row r="7" spans="1:208" ht="12.75" customHeight="1">
      <c r="A7" s="41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11</v>
      </c>
      <c r="K7" s="41" t="s">
        <v>12</v>
      </c>
      <c r="L7" s="41" t="s">
        <v>13</v>
      </c>
      <c r="M7" s="41" t="s">
        <v>173</v>
      </c>
      <c r="N7" s="41" t="s">
        <v>174</v>
      </c>
      <c r="O7" s="41" t="s">
        <v>175</v>
      </c>
      <c r="P7" s="41" t="s">
        <v>176</v>
      </c>
      <c r="Q7" s="41" t="s">
        <v>177</v>
      </c>
      <c r="R7" s="41" t="s">
        <v>178</v>
      </c>
      <c r="S7" s="41" t="s">
        <v>179</v>
      </c>
      <c r="T7" s="41" t="s">
        <v>180</v>
      </c>
      <c r="U7" s="41" t="s">
        <v>181</v>
      </c>
      <c r="V7" s="41" t="s">
        <v>182</v>
      </c>
      <c r="W7" s="41" t="s">
        <v>183</v>
      </c>
      <c r="X7" s="41" t="s">
        <v>184</v>
      </c>
      <c r="Y7" s="41" t="s">
        <v>185</v>
      </c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</row>
    <row r="8" spans="1:208" ht="12.75" customHeight="1">
      <c r="A8" s="206" t="s">
        <v>186</v>
      </c>
      <c r="B8" s="206" t="s">
        <v>187</v>
      </c>
      <c r="C8" s="200" t="s">
        <v>188</v>
      </c>
      <c r="D8" s="200" t="s">
        <v>189</v>
      </c>
      <c r="E8" s="200" t="s">
        <v>190</v>
      </c>
      <c r="F8" s="200" t="s">
        <v>191</v>
      </c>
      <c r="G8" s="201" t="s">
        <v>192</v>
      </c>
      <c r="H8" s="200" t="s">
        <v>1076</v>
      </c>
      <c r="I8" s="200" t="s">
        <v>193</v>
      </c>
      <c r="J8" s="202" t="s">
        <v>18</v>
      </c>
      <c r="K8" s="202"/>
      <c r="L8" s="202"/>
      <c r="M8" s="202"/>
      <c r="N8" s="202"/>
      <c r="O8" s="202"/>
      <c r="P8" s="202"/>
      <c r="Q8" s="202"/>
      <c r="R8" s="202" t="s">
        <v>20</v>
      </c>
      <c r="S8" s="202"/>
      <c r="T8" s="202"/>
      <c r="U8" s="202"/>
      <c r="V8" s="202"/>
      <c r="W8" s="202"/>
      <c r="X8" s="202"/>
      <c r="Y8" s="202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</row>
    <row r="9" spans="1:208" ht="66" customHeight="1">
      <c r="A9" s="206"/>
      <c r="B9" s="206"/>
      <c r="C9" s="200"/>
      <c r="D9" s="200"/>
      <c r="E9" s="200"/>
      <c r="F9" s="200"/>
      <c r="G9" s="201"/>
      <c r="H9" s="200"/>
      <c r="I9" s="200"/>
      <c r="J9" s="200" t="s">
        <v>194</v>
      </c>
      <c r="K9" s="200"/>
      <c r="L9" s="200"/>
      <c r="M9" s="200"/>
      <c r="N9" s="200"/>
      <c r="O9" s="200" t="s">
        <v>195</v>
      </c>
      <c r="P9" s="200" t="s">
        <v>196</v>
      </c>
      <c r="Q9" s="200" t="s">
        <v>197</v>
      </c>
      <c r="R9" s="200" t="s">
        <v>194</v>
      </c>
      <c r="S9" s="200"/>
      <c r="T9" s="200"/>
      <c r="U9" s="200"/>
      <c r="V9" s="200"/>
      <c r="W9" s="200" t="s">
        <v>195</v>
      </c>
      <c r="X9" s="200" t="s">
        <v>196</v>
      </c>
      <c r="Y9" s="200" t="s">
        <v>197</v>
      </c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</row>
    <row r="10" spans="1:25" s="44" customFormat="1" ht="24.75" customHeight="1">
      <c r="A10" s="206"/>
      <c r="B10" s="206"/>
      <c r="C10" s="200"/>
      <c r="D10" s="200"/>
      <c r="E10" s="200"/>
      <c r="F10" s="200"/>
      <c r="G10" s="201"/>
      <c r="H10" s="200"/>
      <c r="I10" s="200"/>
      <c r="J10" s="43" t="s">
        <v>198</v>
      </c>
      <c r="K10" s="43" t="s">
        <v>199</v>
      </c>
      <c r="L10" s="43" t="s">
        <v>200</v>
      </c>
      <c r="M10" s="42" t="s">
        <v>201</v>
      </c>
      <c r="N10" s="42" t="s">
        <v>202</v>
      </c>
      <c r="O10" s="200"/>
      <c r="P10" s="200"/>
      <c r="Q10" s="200"/>
      <c r="R10" s="43" t="s">
        <v>198</v>
      </c>
      <c r="S10" s="43" t="s">
        <v>199</v>
      </c>
      <c r="T10" s="43" t="s">
        <v>200</v>
      </c>
      <c r="U10" s="42" t="s">
        <v>201</v>
      </c>
      <c r="V10" s="42" t="s">
        <v>202</v>
      </c>
      <c r="W10" s="200"/>
      <c r="X10" s="200"/>
      <c r="Y10" s="200"/>
    </row>
    <row r="11" spans="1:208" ht="15" customHeight="1">
      <c r="A11" s="45" t="s">
        <v>33</v>
      </c>
      <c r="B11" s="46"/>
      <c r="C11" s="196" t="s">
        <v>203</v>
      </c>
      <c r="D11" s="196"/>
      <c r="E11" s="196"/>
      <c r="F11" s="47"/>
      <c r="G11" s="48"/>
      <c r="H11" s="49">
        <f>SUM(H12:H12)</f>
        <v>589444604</v>
      </c>
      <c r="I11" s="47"/>
      <c r="J11" s="50">
        <f>SUM(J12:J12)</f>
        <v>0</v>
      </c>
      <c r="K11" s="50">
        <f>SUM(K12:K12)</f>
        <v>0</v>
      </c>
      <c r="L11" s="50">
        <f>SUM(L12:L12)</f>
        <v>0</v>
      </c>
      <c r="M11" s="50">
        <f>SUM(M12:M12)</f>
        <v>0</v>
      </c>
      <c r="N11" s="50">
        <f>SUM(N12:N12)</f>
        <v>0</v>
      </c>
      <c r="O11" s="50">
        <f aca="true" t="shared" si="0" ref="O11:Y11">SUM(O12:O13)</f>
        <v>8000000</v>
      </c>
      <c r="P11" s="50">
        <f t="shared" si="0"/>
        <v>6875000</v>
      </c>
      <c r="Q11" s="50">
        <f t="shared" si="0"/>
        <v>14875000</v>
      </c>
      <c r="R11" s="50">
        <f t="shared" si="0"/>
        <v>0</v>
      </c>
      <c r="S11" s="50">
        <f t="shared" si="0"/>
        <v>0</v>
      </c>
      <c r="T11" s="50">
        <f t="shared" si="0"/>
        <v>0</v>
      </c>
      <c r="U11" s="50">
        <f t="shared" si="0"/>
        <v>0</v>
      </c>
      <c r="V11" s="50">
        <f t="shared" si="0"/>
        <v>0</v>
      </c>
      <c r="W11" s="50">
        <f t="shared" si="0"/>
        <v>33000000</v>
      </c>
      <c r="X11" s="50">
        <f t="shared" si="0"/>
        <v>6875000</v>
      </c>
      <c r="Y11" s="50">
        <f t="shared" si="0"/>
        <v>39875000</v>
      </c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</row>
    <row r="12" spans="1:25" s="44" customFormat="1" ht="38.25" customHeight="1">
      <c r="A12" s="51"/>
      <c r="B12" s="51" t="s">
        <v>204</v>
      </c>
      <c r="C12" s="52" t="s">
        <v>205</v>
      </c>
      <c r="D12" s="53" t="s">
        <v>206</v>
      </c>
      <c r="E12" s="53">
        <v>40828</v>
      </c>
      <c r="F12" s="53">
        <v>42725</v>
      </c>
      <c r="G12" s="54" t="s">
        <v>207</v>
      </c>
      <c r="H12" s="55">
        <v>589444604</v>
      </c>
      <c r="I12" s="56"/>
      <c r="J12" s="57">
        <v>0</v>
      </c>
      <c r="K12" s="55">
        <f>J12</f>
        <v>0</v>
      </c>
      <c r="L12" s="55">
        <f>K12</f>
        <v>0</v>
      </c>
      <c r="M12" s="55">
        <v>0</v>
      </c>
      <c r="N12" s="58">
        <f>SUM(J12:M12)</f>
        <v>0</v>
      </c>
      <c r="O12" s="57">
        <v>8000000</v>
      </c>
      <c r="P12" s="57">
        <v>6875000</v>
      </c>
      <c r="Q12" s="50">
        <f>SUM(N12:P12)</f>
        <v>14875000</v>
      </c>
      <c r="R12" s="57">
        <v>0</v>
      </c>
      <c r="S12" s="55">
        <f>R12</f>
        <v>0</v>
      </c>
      <c r="T12" s="55">
        <f>S12</f>
        <v>0</v>
      </c>
      <c r="U12" s="55">
        <v>0</v>
      </c>
      <c r="V12" s="58">
        <f>SUM(R12:U12)</f>
        <v>0</v>
      </c>
      <c r="W12" s="57">
        <f>'5.1 D'!P11</f>
        <v>8000000</v>
      </c>
      <c r="X12" s="57">
        <f>'5.1 D'!Q11</f>
        <v>6875000</v>
      </c>
      <c r="Y12" s="50">
        <f>SUM(V12:X12)</f>
        <v>14875000</v>
      </c>
    </row>
    <row r="13" spans="1:25" s="44" customFormat="1" ht="38.25" customHeight="1">
      <c r="A13" s="51"/>
      <c r="B13" s="51" t="s">
        <v>208</v>
      </c>
      <c r="C13" s="199" t="s">
        <v>209</v>
      </c>
      <c r="D13" s="199"/>
      <c r="E13" s="53" t="s">
        <v>210</v>
      </c>
      <c r="F13" s="53"/>
      <c r="G13" s="54"/>
      <c r="H13" s="55">
        <v>1000000000</v>
      </c>
      <c r="I13" s="56"/>
      <c r="J13" s="57">
        <v>0</v>
      </c>
      <c r="K13" s="55">
        <v>0</v>
      </c>
      <c r="L13" s="55">
        <v>0</v>
      </c>
      <c r="M13" s="55">
        <v>0</v>
      </c>
      <c r="N13" s="58">
        <v>0</v>
      </c>
      <c r="O13" s="57">
        <v>0</v>
      </c>
      <c r="P13" s="57">
        <v>0</v>
      </c>
      <c r="Q13" s="50">
        <f>SUM(N13:P13)</f>
        <v>0</v>
      </c>
      <c r="R13" s="57">
        <v>0</v>
      </c>
      <c r="S13" s="55">
        <v>0</v>
      </c>
      <c r="T13" s="55">
        <v>0</v>
      </c>
      <c r="U13" s="55">
        <v>0</v>
      </c>
      <c r="V13" s="58">
        <v>0</v>
      </c>
      <c r="W13" s="57">
        <v>25000000</v>
      </c>
      <c r="X13" s="57">
        <v>0</v>
      </c>
      <c r="Y13" s="50">
        <f>SUM(V13:X13)</f>
        <v>25000000</v>
      </c>
    </row>
    <row r="14" spans="1:208" ht="15" customHeight="1">
      <c r="A14" s="45" t="s">
        <v>35</v>
      </c>
      <c r="B14" s="45"/>
      <c r="C14" s="196" t="s">
        <v>211</v>
      </c>
      <c r="D14" s="196"/>
      <c r="E14" s="196"/>
      <c r="F14" s="47"/>
      <c r="G14" s="48"/>
      <c r="H14" s="50">
        <f>SUM(H15:H15)</f>
        <v>3500000000</v>
      </c>
      <c r="I14" s="50"/>
      <c r="J14" s="50">
        <f aca="true" t="shared" si="1" ref="J14:Y14">SUM(J15:J15)</f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55000000</v>
      </c>
      <c r="P14" s="50">
        <f t="shared" si="1"/>
        <v>5000000</v>
      </c>
      <c r="Q14" s="50">
        <f t="shared" si="1"/>
        <v>60000000</v>
      </c>
      <c r="R14" s="50">
        <f t="shared" si="1"/>
        <v>0</v>
      </c>
      <c r="S14" s="50">
        <f t="shared" si="1"/>
        <v>0</v>
      </c>
      <c r="T14" s="50">
        <f t="shared" si="1"/>
        <v>0</v>
      </c>
      <c r="U14" s="50">
        <f t="shared" si="1"/>
        <v>0</v>
      </c>
      <c r="V14" s="50">
        <f t="shared" si="1"/>
        <v>0</v>
      </c>
      <c r="W14" s="50">
        <f t="shared" si="1"/>
        <v>55000000</v>
      </c>
      <c r="X14" s="50">
        <f t="shared" si="1"/>
        <v>5000000</v>
      </c>
      <c r="Y14" s="50">
        <f t="shared" si="1"/>
        <v>60000000</v>
      </c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</row>
    <row r="15" spans="1:25" s="44" customFormat="1" ht="26.25" customHeight="1">
      <c r="A15" s="51"/>
      <c r="B15" s="51" t="s">
        <v>212</v>
      </c>
      <c r="C15" s="59" t="s">
        <v>213</v>
      </c>
      <c r="D15" s="52" t="s">
        <v>214</v>
      </c>
      <c r="E15" s="60"/>
      <c r="F15" s="53">
        <v>42735</v>
      </c>
      <c r="G15" s="54" t="s">
        <v>207</v>
      </c>
      <c r="H15" s="55">
        <v>3500000000</v>
      </c>
      <c r="I15" s="55"/>
      <c r="J15" s="61">
        <v>0</v>
      </c>
      <c r="K15" s="55">
        <v>0</v>
      </c>
      <c r="L15" s="55">
        <v>0</v>
      </c>
      <c r="M15" s="55">
        <v>0</v>
      </c>
      <c r="N15" s="62">
        <v>0</v>
      </c>
      <c r="O15" s="63">
        <v>55000000</v>
      </c>
      <c r="P15" s="55">
        <v>5000000</v>
      </c>
      <c r="Q15" s="64">
        <f>N15+O15+P15</f>
        <v>60000000</v>
      </c>
      <c r="R15" s="61">
        <v>0</v>
      </c>
      <c r="S15" s="55">
        <v>0</v>
      </c>
      <c r="T15" s="55">
        <v>0</v>
      </c>
      <c r="U15" s="55">
        <v>0</v>
      </c>
      <c r="V15" s="62">
        <v>0</v>
      </c>
      <c r="W15" s="63">
        <f>'5.1 D'!P14</f>
        <v>55000000</v>
      </c>
      <c r="X15" s="63">
        <f>'5.1 D'!Q14</f>
        <v>5000000</v>
      </c>
      <c r="Y15" s="64">
        <f>V15+W15+X15</f>
        <v>60000000</v>
      </c>
    </row>
    <row r="16" spans="1:208" ht="15" customHeight="1">
      <c r="A16" s="45" t="s">
        <v>37</v>
      </c>
      <c r="B16" s="45"/>
      <c r="C16" s="197" t="s">
        <v>215</v>
      </c>
      <c r="D16" s="197"/>
      <c r="E16" s="197"/>
      <c r="F16" s="50"/>
      <c r="G16" s="65"/>
      <c r="H16" s="50">
        <f>SUM(H17:H17)</f>
        <v>450000000</v>
      </c>
      <c r="I16" s="50"/>
      <c r="J16" s="50">
        <f aca="true" t="shared" si="2" ref="J16:Y16">SUM(J17:J18)</f>
        <v>25323734</v>
      </c>
      <c r="K16" s="50">
        <f t="shared" si="2"/>
        <v>26250000</v>
      </c>
      <c r="L16" s="50">
        <f t="shared" si="2"/>
        <v>26250000</v>
      </c>
      <c r="M16" s="50">
        <f t="shared" si="2"/>
        <v>27176266</v>
      </c>
      <c r="N16" s="50">
        <f t="shared" si="2"/>
        <v>105000000</v>
      </c>
      <c r="O16" s="50">
        <f t="shared" si="2"/>
        <v>0</v>
      </c>
      <c r="P16" s="50">
        <f t="shared" si="2"/>
        <v>0</v>
      </c>
      <c r="Q16" s="50">
        <f t="shared" si="2"/>
        <v>105000000</v>
      </c>
      <c r="R16" s="50">
        <f t="shared" si="2"/>
        <v>25323734</v>
      </c>
      <c r="S16" s="50">
        <f t="shared" si="2"/>
        <v>26250000</v>
      </c>
      <c r="T16" s="50">
        <f t="shared" si="2"/>
        <v>26250000</v>
      </c>
      <c r="U16" s="50">
        <f t="shared" si="2"/>
        <v>27176266</v>
      </c>
      <c r="V16" s="50">
        <f t="shared" si="2"/>
        <v>105000000</v>
      </c>
      <c r="W16" s="50">
        <f t="shared" si="2"/>
        <v>0</v>
      </c>
      <c r="X16" s="50">
        <f t="shared" si="2"/>
        <v>0</v>
      </c>
      <c r="Y16" s="50">
        <f t="shared" si="2"/>
        <v>105000000</v>
      </c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</row>
    <row r="17" spans="1:25" s="72" customFormat="1" ht="26.25" customHeight="1">
      <c r="A17" s="51"/>
      <c r="B17" s="51" t="s">
        <v>216</v>
      </c>
      <c r="C17" s="191" t="s">
        <v>217</v>
      </c>
      <c r="D17" s="191"/>
      <c r="E17" s="191"/>
      <c r="F17" s="67">
        <v>42766</v>
      </c>
      <c r="G17" s="68" t="s">
        <v>218</v>
      </c>
      <c r="H17" s="69">
        <v>450000000</v>
      </c>
      <c r="I17" s="69"/>
      <c r="J17" s="70">
        <v>20073734</v>
      </c>
      <c r="K17" s="70">
        <v>21000000</v>
      </c>
      <c r="L17" s="70">
        <v>21000000</v>
      </c>
      <c r="M17" s="70">
        <v>21926266</v>
      </c>
      <c r="N17" s="71">
        <f>SUM(J17:M17)</f>
        <v>84000000</v>
      </c>
      <c r="O17" s="69">
        <v>0</v>
      </c>
      <c r="P17" s="69">
        <v>0</v>
      </c>
      <c r="Q17" s="64">
        <f>SUM(N17:P17)</f>
        <v>84000000</v>
      </c>
      <c r="R17" s="70">
        <f>'5.1 FT, MT'!Q10</f>
        <v>20073734</v>
      </c>
      <c r="S17" s="70">
        <f>'5.1 FT, MT'!R10</f>
        <v>21000000</v>
      </c>
      <c r="T17" s="70">
        <f>'5.1 FT, MT'!S10</f>
        <v>21000000</v>
      </c>
      <c r="U17" s="70">
        <f>'5.1 FT, MT'!T10</f>
        <v>21926266</v>
      </c>
      <c r="V17" s="71">
        <f>SUM(R17:U17)</f>
        <v>84000000</v>
      </c>
      <c r="W17" s="69">
        <v>0</v>
      </c>
      <c r="X17" s="69">
        <v>0</v>
      </c>
      <c r="Y17" s="64">
        <f>SUM(V17:X17)</f>
        <v>84000000</v>
      </c>
    </row>
    <row r="18" spans="1:25" s="72" customFormat="1" ht="26.25" customHeight="1">
      <c r="A18" s="51"/>
      <c r="B18" s="51" t="s">
        <v>219</v>
      </c>
      <c r="C18" s="191" t="s">
        <v>220</v>
      </c>
      <c r="D18" s="191"/>
      <c r="E18" s="191"/>
      <c r="F18" s="67">
        <v>45657</v>
      </c>
      <c r="G18" s="68" t="s">
        <v>207</v>
      </c>
      <c r="H18" s="69">
        <v>200000000</v>
      </c>
      <c r="I18" s="69"/>
      <c r="J18" s="70">
        <v>5250000</v>
      </c>
      <c r="K18" s="70">
        <v>5250000</v>
      </c>
      <c r="L18" s="70">
        <v>5250000</v>
      </c>
      <c r="M18" s="70">
        <v>5250000</v>
      </c>
      <c r="N18" s="71">
        <f>SUM(J18:M18)</f>
        <v>21000000</v>
      </c>
      <c r="O18" s="69">
        <v>0</v>
      </c>
      <c r="P18" s="69">
        <v>0</v>
      </c>
      <c r="Q18" s="64">
        <f>SUM(N18:P18)</f>
        <v>21000000</v>
      </c>
      <c r="R18" s="70">
        <f>'5.1 FT, MT'!Q11</f>
        <v>5250000</v>
      </c>
      <c r="S18" s="70">
        <f>'5.1 FT, MT'!R11</f>
        <v>5250000</v>
      </c>
      <c r="T18" s="70">
        <f>'5.1 FT, MT'!S11</f>
        <v>5250000</v>
      </c>
      <c r="U18" s="70">
        <f>'5.1 FT, MT'!T11</f>
        <v>5250000</v>
      </c>
      <c r="V18" s="71">
        <f>SUM(R18:U18)</f>
        <v>21000000</v>
      </c>
      <c r="W18" s="69">
        <v>0</v>
      </c>
      <c r="X18" s="69">
        <v>0</v>
      </c>
      <c r="Y18" s="64">
        <f>SUM(V18:X18)</f>
        <v>21000000</v>
      </c>
    </row>
    <row r="19" spans="1:208" ht="26.25" customHeight="1">
      <c r="A19" s="73" t="s">
        <v>221</v>
      </c>
      <c r="B19" s="73"/>
      <c r="C19" s="198" t="s">
        <v>222</v>
      </c>
      <c r="D19" s="198"/>
      <c r="E19" s="198"/>
      <c r="F19" s="74"/>
      <c r="G19" s="75"/>
      <c r="H19" s="64"/>
      <c r="I19" s="64"/>
      <c r="J19" s="64"/>
      <c r="K19" s="64"/>
      <c r="L19" s="64"/>
      <c r="M19" s="64"/>
      <c r="N19" s="64">
        <f>SUM(N20:N20)</f>
        <v>0</v>
      </c>
      <c r="O19" s="64">
        <f>SUM(O20:O21)</f>
        <v>7030000</v>
      </c>
      <c r="P19" s="64">
        <f>SUM(P20:P20)</f>
        <v>0</v>
      </c>
      <c r="Q19" s="64">
        <f>SUM(Q20:Q21)</f>
        <v>7030000</v>
      </c>
      <c r="R19" s="64"/>
      <c r="S19" s="64"/>
      <c r="T19" s="64"/>
      <c r="U19" s="64"/>
      <c r="V19" s="64">
        <v>0</v>
      </c>
      <c r="W19" s="64">
        <f>SUM(W20:W21)</f>
        <v>7030000</v>
      </c>
      <c r="X19" s="64">
        <f>SUM(X20:X20)</f>
        <v>0</v>
      </c>
      <c r="Y19" s="64">
        <f>SUM(Y20:Y21)</f>
        <v>7030000</v>
      </c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</row>
    <row r="20" spans="1:25" s="72" customFormat="1" ht="27" customHeight="1">
      <c r="A20" s="51"/>
      <c r="B20" s="51" t="s">
        <v>223</v>
      </c>
      <c r="C20" s="191" t="s">
        <v>224</v>
      </c>
      <c r="D20" s="191"/>
      <c r="E20" s="191"/>
      <c r="F20" s="191"/>
      <c r="G20" s="76"/>
      <c r="H20" s="71"/>
      <c r="I20" s="71"/>
      <c r="J20" s="69">
        <v>0</v>
      </c>
      <c r="K20" s="69">
        <v>0</v>
      </c>
      <c r="L20" s="69">
        <v>0</v>
      </c>
      <c r="M20" s="69">
        <v>0</v>
      </c>
      <c r="N20" s="69">
        <f>SUM(J20:M20)</f>
        <v>0</v>
      </c>
      <c r="O20" s="69">
        <v>400000</v>
      </c>
      <c r="P20" s="71">
        <v>0</v>
      </c>
      <c r="Q20" s="64">
        <f>SUM(O20:P20)</f>
        <v>400000</v>
      </c>
      <c r="R20" s="69">
        <v>0</v>
      </c>
      <c r="S20" s="69">
        <v>0</v>
      </c>
      <c r="T20" s="69">
        <v>0</v>
      </c>
      <c r="U20" s="69">
        <v>0</v>
      </c>
      <c r="V20" s="69">
        <f>SUM(R20:U20)</f>
        <v>0</v>
      </c>
      <c r="W20" s="69">
        <f>'5.1 FT, MT'!V20</f>
        <v>400000</v>
      </c>
      <c r="X20" s="71">
        <v>0</v>
      </c>
      <c r="Y20" s="64">
        <f>SUM(W20:X20)</f>
        <v>400000</v>
      </c>
    </row>
    <row r="21" spans="1:25" s="72" customFormat="1" ht="27" customHeight="1">
      <c r="A21" s="51"/>
      <c r="B21" s="51" t="s">
        <v>225</v>
      </c>
      <c r="C21" s="191" t="s">
        <v>226</v>
      </c>
      <c r="D21" s="191"/>
      <c r="E21" s="191"/>
      <c r="F21" s="191"/>
      <c r="G21" s="76"/>
      <c r="H21" s="71"/>
      <c r="I21" s="71"/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6630000</v>
      </c>
      <c r="P21" s="71">
        <v>0</v>
      </c>
      <c r="Q21" s="64">
        <f>SUM(O21:P21)</f>
        <v>6630000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f>'5.1 FT, MT'!V21</f>
        <v>6630000</v>
      </c>
      <c r="X21" s="71"/>
      <c r="Y21" s="64">
        <f>SUM(W21:X21)</f>
        <v>6630000</v>
      </c>
    </row>
    <row r="22" spans="1:208" ht="15" customHeight="1">
      <c r="A22" s="192" t="s">
        <v>227</v>
      </c>
      <c r="B22" s="192"/>
      <c r="C22" s="192"/>
      <c r="D22" s="192"/>
      <c r="E22" s="192"/>
      <c r="F22" s="192"/>
      <c r="G22" s="75"/>
      <c r="H22" s="64"/>
      <c r="I22" s="64">
        <f aca="true" t="shared" si="3" ref="I22:Y22">SUM(I11,I14,I16,I19)</f>
        <v>0</v>
      </c>
      <c r="J22" s="64">
        <f t="shared" si="3"/>
        <v>25323734</v>
      </c>
      <c r="K22" s="64">
        <f t="shared" si="3"/>
        <v>26250000</v>
      </c>
      <c r="L22" s="64">
        <f t="shared" si="3"/>
        <v>26250000</v>
      </c>
      <c r="M22" s="64">
        <f t="shared" si="3"/>
        <v>27176266</v>
      </c>
      <c r="N22" s="64">
        <f t="shared" si="3"/>
        <v>105000000</v>
      </c>
      <c r="O22" s="64">
        <f t="shared" si="3"/>
        <v>70030000</v>
      </c>
      <c r="P22" s="64">
        <f t="shared" si="3"/>
        <v>11875000</v>
      </c>
      <c r="Q22" s="64">
        <f t="shared" si="3"/>
        <v>186905000</v>
      </c>
      <c r="R22" s="64">
        <f t="shared" si="3"/>
        <v>25323734</v>
      </c>
      <c r="S22" s="64">
        <f t="shared" si="3"/>
        <v>26250000</v>
      </c>
      <c r="T22" s="64">
        <f t="shared" si="3"/>
        <v>26250000</v>
      </c>
      <c r="U22" s="64">
        <f t="shared" si="3"/>
        <v>27176266</v>
      </c>
      <c r="V22" s="64">
        <f t="shared" si="3"/>
        <v>105000000</v>
      </c>
      <c r="W22" s="64">
        <f t="shared" si="3"/>
        <v>95030000</v>
      </c>
      <c r="X22" s="64">
        <f t="shared" si="3"/>
        <v>11875000</v>
      </c>
      <c r="Y22" s="64">
        <f t="shared" si="3"/>
        <v>211905000</v>
      </c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</row>
    <row r="25" spans="18:25" ht="12.75" customHeight="1">
      <c r="R25" s="193" t="s">
        <v>228</v>
      </c>
      <c r="S25" s="193"/>
      <c r="T25" s="193"/>
      <c r="U25" s="193"/>
      <c r="V25" s="193"/>
      <c r="W25" s="193"/>
      <c r="X25" s="193"/>
      <c r="Y25" s="193"/>
    </row>
    <row r="26" spans="18:25" ht="12.75" customHeight="1">
      <c r="R26" s="194"/>
      <c r="S26" s="194"/>
      <c r="T26" s="194"/>
      <c r="U26" s="194"/>
      <c r="V26" s="194"/>
      <c r="W26" s="194"/>
      <c r="X26" s="194"/>
      <c r="Y26" s="194"/>
    </row>
  </sheetData>
  <sheetProtection selectLockedCells="1" selectUnlockedCells="1"/>
  <mergeCells count="35">
    <mergeCell ref="A1:Y1"/>
    <mergeCell ref="A3:Q3"/>
    <mergeCell ref="A4:Y4"/>
    <mergeCell ref="A5:Y5"/>
    <mergeCell ref="A8:A10"/>
    <mergeCell ref="B8:B10"/>
    <mergeCell ref="C8:C10"/>
    <mergeCell ref="D8:D10"/>
    <mergeCell ref="E8:E10"/>
    <mergeCell ref="J8:Q8"/>
    <mergeCell ref="R8:Y8"/>
    <mergeCell ref="J9:N9"/>
    <mergeCell ref="O9:O10"/>
    <mergeCell ref="P9:P10"/>
    <mergeCell ref="Q9:Q10"/>
    <mergeCell ref="R9:V9"/>
    <mergeCell ref="W9:W10"/>
    <mergeCell ref="X9:X10"/>
    <mergeCell ref="Y9:Y10"/>
    <mergeCell ref="C11:E11"/>
    <mergeCell ref="C13:D13"/>
    <mergeCell ref="F8:F10"/>
    <mergeCell ref="G8:G10"/>
    <mergeCell ref="H8:H10"/>
    <mergeCell ref="I8:I10"/>
    <mergeCell ref="C21:F21"/>
    <mergeCell ref="A22:F22"/>
    <mergeCell ref="R25:Y26"/>
    <mergeCell ref="A2:Y2"/>
    <mergeCell ref="C14:E14"/>
    <mergeCell ref="C16:E16"/>
    <mergeCell ref="C17:E17"/>
    <mergeCell ref="C18:E18"/>
    <mergeCell ref="C19:E19"/>
    <mergeCell ref="C20:F2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6"/>
  <sheetViews>
    <sheetView view="pageBreakPreview" zoomScale="91" zoomScaleNormal="71" zoomScaleSheetLayoutView="91" zoomScalePageLayoutView="0" workbookViewId="0" topLeftCell="A1">
      <pane xSplit="3" topLeftCell="E1" activePane="topRight" state="frozen"/>
      <selection pane="topLeft" activeCell="A1" sqref="A1"/>
      <selection pane="topRight" activeCell="A1" sqref="A1:U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12" width="14.57421875" style="0" customWidth="1"/>
    <col min="13" max="13" width="15.7109375" style="0" customWidth="1"/>
    <col min="14" max="17" width="13.57421875" style="0" customWidth="1"/>
    <col min="18" max="18" width="16.28125" style="0" customWidth="1"/>
    <col min="19" max="21" width="13.57421875" style="0" customWidth="1"/>
  </cols>
  <sheetData>
    <row r="1" spans="1:21" ht="18">
      <c r="A1" s="230" t="s">
        <v>1148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965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966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96" customHeight="1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150</v>
      </c>
      <c r="B10" s="114"/>
      <c r="C10" s="169" t="s">
        <v>34</v>
      </c>
      <c r="D10" s="170">
        <f aca="true" t="shared" si="0" ref="D10:D18">SUM(E10:L10)</f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70">
        <f aca="true" t="shared" si="1" ref="M10:M18">SUM(N10:U10)</f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</row>
    <row r="11" spans="1:21" ht="18">
      <c r="A11" s="114" t="s">
        <v>151</v>
      </c>
      <c r="B11" s="114"/>
      <c r="C11" s="115" t="s">
        <v>36</v>
      </c>
      <c r="D11" s="171">
        <f t="shared" si="0"/>
        <v>11000000</v>
      </c>
      <c r="E11" s="130">
        <f aca="true" t="shared" si="2" ref="E11:L11">SUM(E12:E18)</f>
        <v>0</v>
      </c>
      <c r="F11" s="130">
        <f t="shared" si="2"/>
        <v>0</v>
      </c>
      <c r="G11" s="130">
        <f t="shared" si="2"/>
        <v>0</v>
      </c>
      <c r="H11" s="130">
        <f t="shared" si="2"/>
        <v>0</v>
      </c>
      <c r="I11" s="130">
        <f t="shared" si="2"/>
        <v>11000000</v>
      </c>
      <c r="J11" s="130">
        <f t="shared" si="2"/>
        <v>0</v>
      </c>
      <c r="K11" s="130">
        <f t="shared" si="2"/>
        <v>0</v>
      </c>
      <c r="L11" s="130">
        <f t="shared" si="2"/>
        <v>0</v>
      </c>
      <c r="M11" s="171">
        <f t="shared" si="1"/>
        <v>11000000</v>
      </c>
      <c r="N11" s="130">
        <f aca="true" t="shared" si="3" ref="N11:U11">SUM(N12:N18)</f>
        <v>0</v>
      </c>
      <c r="O11" s="130">
        <f t="shared" si="3"/>
        <v>0</v>
      </c>
      <c r="P11" s="130">
        <f t="shared" si="3"/>
        <v>0</v>
      </c>
      <c r="Q11" s="130">
        <f t="shared" si="3"/>
        <v>0</v>
      </c>
      <c r="R11" s="130">
        <f t="shared" si="3"/>
        <v>11000000</v>
      </c>
      <c r="S11" s="130">
        <f t="shared" si="3"/>
        <v>0</v>
      </c>
      <c r="T11" s="130">
        <f t="shared" si="3"/>
        <v>0</v>
      </c>
      <c r="U11" s="130">
        <f t="shared" si="3"/>
        <v>0</v>
      </c>
    </row>
    <row r="12" spans="1:21" ht="45">
      <c r="A12" s="114"/>
      <c r="B12" s="114" t="s">
        <v>967</v>
      </c>
      <c r="C12" s="160" t="s">
        <v>968</v>
      </c>
      <c r="D12" s="148">
        <f t="shared" si="0"/>
        <v>1000000</v>
      </c>
      <c r="E12" s="133">
        <v>0</v>
      </c>
      <c r="F12" s="133">
        <v>0</v>
      </c>
      <c r="G12" s="133">
        <v>0</v>
      </c>
      <c r="H12" s="133">
        <v>0</v>
      </c>
      <c r="I12" s="133">
        <v>1000000</v>
      </c>
      <c r="J12" s="133">
        <v>0</v>
      </c>
      <c r="K12" s="133">
        <v>0</v>
      </c>
      <c r="L12" s="133">
        <v>0</v>
      </c>
      <c r="M12" s="148">
        <f t="shared" si="1"/>
        <v>1000000</v>
      </c>
      <c r="N12" s="133">
        <v>0</v>
      </c>
      <c r="O12" s="133">
        <v>0</v>
      </c>
      <c r="P12" s="133">
        <v>0</v>
      </c>
      <c r="Q12" s="133">
        <v>0</v>
      </c>
      <c r="R12" s="133">
        <v>1000000</v>
      </c>
      <c r="S12" s="133">
        <v>0</v>
      </c>
      <c r="T12" s="133">
        <v>0</v>
      </c>
      <c r="U12" s="133">
        <v>0</v>
      </c>
    </row>
    <row r="13" spans="1:21" ht="45">
      <c r="A13" s="114"/>
      <c r="B13" s="114" t="s">
        <v>969</v>
      </c>
      <c r="C13" s="160" t="s">
        <v>970</v>
      </c>
      <c r="D13" s="148">
        <f t="shared" si="0"/>
        <v>4000000</v>
      </c>
      <c r="E13" s="133">
        <v>0</v>
      </c>
      <c r="F13" s="133">
        <v>0</v>
      </c>
      <c r="G13" s="133">
        <v>0</v>
      </c>
      <c r="H13" s="133">
        <v>0</v>
      </c>
      <c r="I13" s="133">
        <v>4000000</v>
      </c>
      <c r="J13" s="133">
        <v>0</v>
      </c>
      <c r="K13" s="133">
        <v>0</v>
      </c>
      <c r="L13" s="133">
        <v>0</v>
      </c>
      <c r="M13" s="148">
        <f t="shared" si="1"/>
        <v>4000000</v>
      </c>
      <c r="N13" s="133">
        <v>0</v>
      </c>
      <c r="O13" s="133">
        <v>0</v>
      </c>
      <c r="P13" s="133">
        <v>0</v>
      </c>
      <c r="Q13" s="133">
        <v>0</v>
      </c>
      <c r="R13" s="133">
        <v>4000000</v>
      </c>
      <c r="S13" s="133">
        <v>0</v>
      </c>
      <c r="T13" s="133">
        <v>0</v>
      </c>
      <c r="U13" s="133">
        <v>0</v>
      </c>
    </row>
    <row r="14" spans="1:21" ht="45">
      <c r="A14" s="114"/>
      <c r="B14" s="114" t="s">
        <v>971</v>
      </c>
      <c r="C14" s="160" t="s">
        <v>972</v>
      </c>
      <c r="D14" s="148">
        <f t="shared" si="0"/>
        <v>1000000</v>
      </c>
      <c r="E14" s="133">
        <v>0</v>
      </c>
      <c r="F14" s="133">
        <v>0</v>
      </c>
      <c r="G14" s="133">
        <v>0</v>
      </c>
      <c r="H14" s="133">
        <v>0</v>
      </c>
      <c r="I14" s="133">
        <v>1000000</v>
      </c>
      <c r="J14" s="133">
        <v>0</v>
      </c>
      <c r="K14" s="133">
        <v>0</v>
      </c>
      <c r="L14" s="133">
        <v>0</v>
      </c>
      <c r="M14" s="148">
        <f t="shared" si="1"/>
        <v>1000000</v>
      </c>
      <c r="N14" s="133">
        <v>0</v>
      </c>
      <c r="O14" s="133">
        <v>0</v>
      </c>
      <c r="P14" s="133">
        <v>0</v>
      </c>
      <c r="Q14" s="133">
        <v>0</v>
      </c>
      <c r="R14" s="133">
        <v>1000000</v>
      </c>
      <c r="S14" s="133">
        <v>0</v>
      </c>
      <c r="T14" s="133">
        <v>0</v>
      </c>
      <c r="U14" s="133">
        <v>0</v>
      </c>
    </row>
    <row r="15" spans="1:21" ht="45">
      <c r="A15" s="114"/>
      <c r="B15" s="114" t="s">
        <v>973</v>
      </c>
      <c r="C15" s="160" t="s">
        <v>974</v>
      </c>
      <c r="D15" s="148">
        <f t="shared" si="0"/>
        <v>1500000</v>
      </c>
      <c r="E15" s="133">
        <v>0</v>
      </c>
      <c r="F15" s="133">
        <v>0</v>
      </c>
      <c r="G15" s="133">
        <v>0</v>
      </c>
      <c r="H15" s="133">
        <v>0</v>
      </c>
      <c r="I15" s="133">
        <v>1500000</v>
      </c>
      <c r="J15" s="133">
        <v>0</v>
      </c>
      <c r="K15" s="133">
        <v>0</v>
      </c>
      <c r="L15" s="133">
        <v>0</v>
      </c>
      <c r="M15" s="148">
        <f t="shared" si="1"/>
        <v>1500000</v>
      </c>
      <c r="N15" s="133">
        <v>0</v>
      </c>
      <c r="O15" s="133">
        <v>0</v>
      </c>
      <c r="P15" s="133">
        <v>0</v>
      </c>
      <c r="Q15" s="133">
        <v>0</v>
      </c>
      <c r="R15" s="133">
        <v>1500000</v>
      </c>
      <c r="S15" s="133">
        <v>0</v>
      </c>
      <c r="T15" s="133">
        <v>0</v>
      </c>
      <c r="U15" s="133">
        <v>0</v>
      </c>
    </row>
    <row r="16" spans="1:21" ht="45">
      <c r="A16" s="114"/>
      <c r="B16" s="114" t="s">
        <v>975</v>
      </c>
      <c r="C16" s="160" t="s">
        <v>976</v>
      </c>
      <c r="D16" s="148">
        <f t="shared" si="0"/>
        <v>1500000</v>
      </c>
      <c r="E16" s="133">
        <v>0</v>
      </c>
      <c r="F16" s="133">
        <v>0</v>
      </c>
      <c r="G16" s="133">
        <v>0</v>
      </c>
      <c r="H16" s="133">
        <v>0</v>
      </c>
      <c r="I16" s="133">
        <v>1500000</v>
      </c>
      <c r="J16" s="133">
        <v>0</v>
      </c>
      <c r="K16" s="133">
        <v>0</v>
      </c>
      <c r="L16" s="133">
        <v>0</v>
      </c>
      <c r="M16" s="148">
        <f t="shared" si="1"/>
        <v>1500000</v>
      </c>
      <c r="N16" s="133">
        <v>0</v>
      </c>
      <c r="O16" s="133">
        <v>0</v>
      </c>
      <c r="P16" s="133">
        <v>0</v>
      </c>
      <c r="Q16" s="133">
        <v>0</v>
      </c>
      <c r="R16" s="133">
        <v>1500000</v>
      </c>
      <c r="S16" s="133">
        <v>0</v>
      </c>
      <c r="T16" s="133">
        <v>0</v>
      </c>
      <c r="U16" s="133">
        <v>0</v>
      </c>
    </row>
    <row r="17" spans="1:21" ht="45">
      <c r="A17" s="114"/>
      <c r="B17" s="114" t="s">
        <v>977</v>
      </c>
      <c r="C17" s="160" t="s">
        <v>978</v>
      </c>
      <c r="D17" s="148">
        <f t="shared" si="0"/>
        <v>1000000</v>
      </c>
      <c r="E17" s="133">
        <v>0</v>
      </c>
      <c r="F17" s="133">
        <v>0</v>
      </c>
      <c r="G17" s="133">
        <v>0</v>
      </c>
      <c r="H17" s="133">
        <v>0</v>
      </c>
      <c r="I17" s="133">
        <v>1000000</v>
      </c>
      <c r="J17" s="133">
        <v>0</v>
      </c>
      <c r="K17" s="133">
        <v>0</v>
      </c>
      <c r="L17" s="133">
        <v>0</v>
      </c>
      <c r="M17" s="148">
        <f t="shared" si="1"/>
        <v>1000000</v>
      </c>
      <c r="N17" s="133">
        <v>0</v>
      </c>
      <c r="O17" s="133">
        <v>0</v>
      </c>
      <c r="P17" s="133">
        <v>0</v>
      </c>
      <c r="Q17" s="133">
        <v>0</v>
      </c>
      <c r="R17" s="133">
        <v>1000000</v>
      </c>
      <c r="S17" s="133">
        <v>0</v>
      </c>
      <c r="T17" s="133">
        <v>0</v>
      </c>
      <c r="U17" s="133">
        <v>0</v>
      </c>
    </row>
    <row r="18" spans="1:21" ht="45">
      <c r="A18" s="114"/>
      <c r="B18" s="114" t="s">
        <v>979</v>
      </c>
      <c r="C18" s="160" t="s">
        <v>980</v>
      </c>
      <c r="D18" s="148">
        <f t="shared" si="0"/>
        <v>1000000</v>
      </c>
      <c r="E18" s="133">
        <v>0</v>
      </c>
      <c r="F18" s="133">
        <v>0</v>
      </c>
      <c r="G18" s="133">
        <v>0</v>
      </c>
      <c r="H18" s="133">
        <v>0</v>
      </c>
      <c r="I18" s="133">
        <v>1000000</v>
      </c>
      <c r="J18" s="133">
        <v>0</v>
      </c>
      <c r="K18" s="133">
        <v>0</v>
      </c>
      <c r="L18" s="133">
        <v>0</v>
      </c>
      <c r="M18" s="148">
        <f t="shared" si="1"/>
        <v>1000000</v>
      </c>
      <c r="N18" s="133">
        <v>0</v>
      </c>
      <c r="O18" s="133">
        <v>0</v>
      </c>
      <c r="P18" s="133">
        <v>0</v>
      </c>
      <c r="Q18" s="133">
        <v>0</v>
      </c>
      <c r="R18" s="133">
        <v>1000000</v>
      </c>
      <c r="S18" s="133">
        <v>0</v>
      </c>
      <c r="T18" s="133">
        <v>0</v>
      </c>
      <c r="U18" s="133">
        <v>0</v>
      </c>
    </row>
    <row r="19" spans="1:21" ht="28.5" customHeight="1">
      <c r="A19" s="114" t="s">
        <v>152</v>
      </c>
      <c r="B19" s="114"/>
      <c r="C19" s="115" t="s">
        <v>38</v>
      </c>
      <c r="D19" s="129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29">
        <v>0</v>
      </c>
      <c r="M19" s="129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29">
        <v>0</v>
      </c>
    </row>
    <row r="20" spans="1:21" ht="18" customHeight="1">
      <c r="A20" s="222" t="s">
        <v>364</v>
      </c>
      <c r="B20" s="222"/>
      <c r="C20" s="222"/>
      <c r="D20" s="129">
        <f>SUM(E20:L20)</f>
        <v>11000000</v>
      </c>
      <c r="E20" s="130">
        <f aca="true" t="shared" si="4" ref="E20:L20">E10+E11+E19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11000000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29">
        <f>SUM(N20:U20)</f>
        <v>11000000</v>
      </c>
      <c r="N20" s="130">
        <f aca="true" t="shared" si="5" ref="N20:U20">N10+N11+N19</f>
        <v>0</v>
      </c>
      <c r="O20" s="130">
        <f t="shared" si="5"/>
        <v>0</v>
      </c>
      <c r="P20" s="130">
        <f t="shared" si="5"/>
        <v>0</v>
      </c>
      <c r="Q20" s="130">
        <f t="shared" si="5"/>
        <v>0</v>
      </c>
      <c r="R20" s="130">
        <f t="shared" si="5"/>
        <v>11000000</v>
      </c>
      <c r="S20" s="130">
        <f t="shared" si="5"/>
        <v>0</v>
      </c>
      <c r="T20" s="130">
        <f t="shared" si="5"/>
        <v>0</v>
      </c>
      <c r="U20" s="130">
        <f t="shared" si="5"/>
        <v>0</v>
      </c>
    </row>
    <row r="31" spans="11:14" ht="12.75">
      <c r="K31" s="159"/>
      <c r="L31" s="159"/>
      <c r="M31" s="159"/>
      <c r="N31" s="159"/>
    </row>
    <row r="32" spans="11:14" ht="12.75">
      <c r="K32" s="159"/>
      <c r="L32" s="159"/>
      <c r="M32" s="159"/>
      <c r="N32" s="159"/>
    </row>
    <row r="33" spans="11:14" ht="12.75">
      <c r="K33" s="159"/>
      <c r="L33" s="159"/>
      <c r="M33" s="159"/>
      <c r="N33" s="159"/>
    </row>
    <row r="34" spans="11:14" ht="12.75">
      <c r="K34" s="159"/>
      <c r="L34" s="159"/>
      <c r="M34" s="159"/>
      <c r="N34" s="159"/>
    </row>
    <row r="35" spans="11:14" ht="12.75">
      <c r="K35" s="159"/>
      <c r="L35" s="159"/>
      <c r="M35" s="159"/>
      <c r="N35" s="159"/>
    </row>
    <row r="36" spans="11:14" ht="12.75">
      <c r="K36" s="159"/>
      <c r="L36" s="159" t="s">
        <v>315</v>
      </c>
      <c r="M36" s="159"/>
      <c r="N36" s="159"/>
    </row>
  </sheetData>
  <sheetProtection selectLockedCells="1" selectUnlockedCells="1"/>
  <mergeCells count="16">
    <mergeCell ref="A20:C20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8"/>
  <sheetViews>
    <sheetView tabSelected="1" view="pageBreakPreview" zoomScale="69" zoomScaleNormal="71" zoomScaleSheetLayoutView="69" zoomScalePageLayoutView="0" workbookViewId="0" topLeftCell="A1">
      <selection activeCell="A3" sqref="A3:U3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20.140625" style="0" customWidth="1"/>
    <col min="14" max="14" width="15.00390625" style="0" customWidth="1"/>
    <col min="15" max="15" width="16.8515625" style="0" customWidth="1"/>
    <col min="16" max="16" width="12.140625" style="0" customWidth="1"/>
    <col min="17" max="17" width="14.00390625" style="0" customWidth="1"/>
    <col min="18" max="18" width="18.421875" style="0" customWidth="1"/>
    <col min="19" max="19" width="12.140625" style="0" customWidth="1"/>
    <col min="20" max="20" width="14.8515625" style="0" customWidth="1"/>
    <col min="21" max="21" width="14.7109375" style="0" customWidth="1"/>
  </cols>
  <sheetData>
    <row r="1" spans="1:21" ht="18">
      <c r="A1" s="230" t="s">
        <v>1149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981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982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T5" s="172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28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28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63.75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160</v>
      </c>
      <c r="B10" s="114"/>
      <c r="C10" s="115" t="s">
        <v>34</v>
      </c>
      <c r="D10" s="129">
        <f aca="true" t="shared" si="0" ref="D10:D38">SUM(E10:L10)</f>
        <v>585322062</v>
      </c>
      <c r="E10" s="130">
        <f aca="true" t="shared" si="1" ref="E10:L10">SUM(E11:E35)</f>
        <v>0</v>
      </c>
      <c r="F10" s="130">
        <f t="shared" si="1"/>
        <v>0</v>
      </c>
      <c r="G10" s="130">
        <f t="shared" si="1"/>
        <v>0</v>
      </c>
      <c r="H10" s="130">
        <f t="shared" si="1"/>
        <v>0</v>
      </c>
      <c r="I10" s="130">
        <f t="shared" si="1"/>
        <v>585322062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29">
        <f aca="true" t="shared" si="2" ref="M10:M38">SUM(N10:U10)</f>
        <v>700292709</v>
      </c>
      <c r="N10" s="130">
        <f aca="true" t="shared" si="3" ref="N10:U10">SUM(N11:N35)</f>
        <v>0</v>
      </c>
      <c r="O10" s="130">
        <f t="shared" si="3"/>
        <v>0</v>
      </c>
      <c r="P10" s="130">
        <f t="shared" si="3"/>
        <v>0</v>
      </c>
      <c r="Q10" s="130">
        <f t="shared" si="3"/>
        <v>0</v>
      </c>
      <c r="R10" s="130">
        <f t="shared" si="3"/>
        <v>700292709</v>
      </c>
      <c r="S10" s="130">
        <f t="shared" si="3"/>
        <v>0</v>
      </c>
      <c r="T10" s="130">
        <f t="shared" si="3"/>
        <v>0</v>
      </c>
      <c r="U10" s="130">
        <f t="shared" si="3"/>
        <v>0</v>
      </c>
    </row>
    <row r="11" spans="1:21" ht="18">
      <c r="A11" s="114"/>
      <c r="B11" s="114" t="s">
        <v>983</v>
      </c>
      <c r="C11" s="125" t="s">
        <v>984</v>
      </c>
      <c r="D11" s="148">
        <f t="shared" si="0"/>
        <v>3000000</v>
      </c>
      <c r="E11" s="133">
        <v>0</v>
      </c>
      <c r="F11" s="133">
        <v>0</v>
      </c>
      <c r="G11" s="133">
        <v>0</v>
      </c>
      <c r="H11" s="133">
        <v>0</v>
      </c>
      <c r="I11" s="133">
        <v>3000000</v>
      </c>
      <c r="J11" s="133">
        <v>0</v>
      </c>
      <c r="K11" s="133">
        <v>0</v>
      </c>
      <c r="L11" s="133">
        <v>0</v>
      </c>
      <c r="M11" s="148">
        <f t="shared" si="2"/>
        <v>3000000</v>
      </c>
      <c r="N11" s="133">
        <v>0</v>
      </c>
      <c r="O11" s="133">
        <v>0</v>
      </c>
      <c r="P11" s="133">
        <v>0</v>
      </c>
      <c r="Q11" s="133">
        <v>0</v>
      </c>
      <c r="R11" s="133">
        <v>3000000</v>
      </c>
      <c r="S11" s="133">
        <v>0</v>
      </c>
      <c r="T11" s="133">
        <v>0</v>
      </c>
      <c r="U11" s="133">
        <v>0</v>
      </c>
    </row>
    <row r="12" spans="1:21" ht="18">
      <c r="A12" s="114"/>
      <c r="B12" s="114" t="s">
        <v>985</v>
      </c>
      <c r="C12" s="125" t="s">
        <v>986</v>
      </c>
      <c r="D12" s="148">
        <f t="shared" si="0"/>
        <v>1000000</v>
      </c>
      <c r="E12" s="133">
        <v>0</v>
      </c>
      <c r="F12" s="133">
        <v>0</v>
      </c>
      <c r="G12" s="133">
        <v>0</v>
      </c>
      <c r="H12" s="133">
        <v>0</v>
      </c>
      <c r="I12" s="133">
        <v>1000000</v>
      </c>
      <c r="J12" s="133">
        <v>0</v>
      </c>
      <c r="K12" s="133">
        <v>0</v>
      </c>
      <c r="L12" s="133">
        <v>0</v>
      </c>
      <c r="M12" s="148">
        <f t="shared" si="2"/>
        <v>1000000</v>
      </c>
      <c r="N12" s="133">
        <v>0</v>
      </c>
      <c r="O12" s="133">
        <v>0</v>
      </c>
      <c r="P12" s="133">
        <v>0</v>
      </c>
      <c r="Q12" s="133">
        <v>0</v>
      </c>
      <c r="R12" s="133">
        <v>1000000</v>
      </c>
      <c r="S12" s="133">
        <v>0</v>
      </c>
      <c r="T12" s="133">
        <v>0</v>
      </c>
      <c r="U12" s="133">
        <v>0</v>
      </c>
    </row>
    <row r="13" spans="1:21" ht="18">
      <c r="A13" s="114"/>
      <c r="B13" s="114" t="s">
        <v>987</v>
      </c>
      <c r="C13" s="125" t="s">
        <v>988</v>
      </c>
      <c r="D13" s="148">
        <f t="shared" si="0"/>
        <v>1000000</v>
      </c>
      <c r="E13" s="133">
        <v>0</v>
      </c>
      <c r="F13" s="133">
        <v>0</v>
      </c>
      <c r="G13" s="133">
        <v>0</v>
      </c>
      <c r="H13" s="133">
        <v>0</v>
      </c>
      <c r="I13" s="133">
        <v>1000000</v>
      </c>
      <c r="J13" s="133">
        <v>0</v>
      </c>
      <c r="K13" s="133">
        <v>0</v>
      </c>
      <c r="L13" s="133">
        <v>0</v>
      </c>
      <c r="M13" s="148">
        <f t="shared" si="2"/>
        <v>1000000</v>
      </c>
      <c r="N13" s="133">
        <v>0</v>
      </c>
      <c r="O13" s="133">
        <v>0</v>
      </c>
      <c r="P13" s="133">
        <v>0</v>
      </c>
      <c r="Q13" s="133">
        <v>0</v>
      </c>
      <c r="R13" s="133">
        <v>1000000</v>
      </c>
      <c r="S13" s="133">
        <v>0</v>
      </c>
      <c r="T13" s="133">
        <v>0</v>
      </c>
      <c r="U13" s="133">
        <v>0</v>
      </c>
    </row>
    <row r="14" spans="1:21" ht="18">
      <c r="A14" s="114"/>
      <c r="B14" s="114" t="s">
        <v>989</v>
      </c>
      <c r="C14" s="125" t="s">
        <v>990</v>
      </c>
      <c r="D14" s="148">
        <f t="shared" si="0"/>
        <v>20955</v>
      </c>
      <c r="E14" s="133">
        <v>0</v>
      </c>
      <c r="F14" s="133">
        <v>0</v>
      </c>
      <c r="G14" s="133">
        <v>0</v>
      </c>
      <c r="H14" s="133">
        <v>0</v>
      </c>
      <c r="I14" s="133">
        <v>20955</v>
      </c>
      <c r="J14" s="133">
        <v>0</v>
      </c>
      <c r="K14" s="133">
        <v>0</v>
      </c>
      <c r="L14" s="133">
        <v>0</v>
      </c>
      <c r="M14" s="148">
        <f t="shared" si="2"/>
        <v>20955</v>
      </c>
      <c r="N14" s="133">
        <v>0</v>
      </c>
      <c r="O14" s="133">
        <v>0</v>
      </c>
      <c r="P14" s="133">
        <v>0</v>
      </c>
      <c r="Q14" s="133">
        <v>0</v>
      </c>
      <c r="R14" s="133">
        <v>20955</v>
      </c>
      <c r="S14" s="133">
        <v>0</v>
      </c>
      <c r="T14" s="133">
        <v>0</v>
      </c>
      <c r="U14" s="133">
        <v>0</v>
      </c>
    </row>
    <row r="15" spans="1:21" ht="18">
      <c r="A15" s="114"/>
      <c r="B15" s="114" t="s">
        <v>991</v>
      </c>
      <c r="C15" s="125" t="s">
        <v>992</v>
      </c>
      <c r="D15" s="148">
        <f t="shared" si="0"/>
        <v>15532647</v>
      </c>
      <c r="E15" s="133">
        <v>0</v>
      </c>
      <c r="F15" s="133">
        <v>0</v>
      </c>
      <c r="G15" s="133">
        <v>0</v>
      </c>
      <c r="H15" s="133">
        <v>0</v>
      </c>
      <c r="I15" s="133">
        <v>15532647</v>
      </c>
      <c r="J15" s="133">
        <v>0</v>
      </c>
      <c r="K15" s="133">
        <v>0</v>
      </c>
      <c r="L15" s="133">
        <v>0</v>
      </c>
      <c r="M15" s="148">
        <f t="shared" si="2"/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</row>
    <row r="16" spans="1:21" ht="18">
      <c r="A16" s="114"/>
      <c r="B16" s="114" t="s">
        <v>993</v>
      </c>
      <c r="C16" s="125" t="s">
        <v>994</v>
      </c>
      <c r="D16" s="148">
        <f t="shared" si="0"/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48">
        <f t="shared" si="2"/>
        <v>8379254</v>
      </c>
      <c r="N16" s="133">
        <v>0</v>
      </c>
      <c r="O16" s="133">
        <v>0</v>
      </c>
      <c r="P16" s="133">
        <v>0</v>
      </c>
      <c r="Q16" s="133">
        <v>0</v>
      </c>
      <c r="R16" s="133">
        <v>8379254</v>
      </c>
      <c r="S16" s="133">
        <v>0</v>
      </c>
      <c r="T16" s="133">
        <v>0</v>
      </c>
      <c r="U16" s="133">
        <v>0</v>
      </c>
    </row>
    <row r="17" spans="1:21" ht="30">
      <c r="A17" s="114"/>
      <c r="B17" s="114" t="s">
        <v>995</v>
      </c>
      <c r="C17" s="160" t="s">
        <v>996</v>
      </c>
      <c r="D17" s="148">
        <f t="shared" si="0"/>
        <v>38792960</v>
      </c>
      <c r="E17" s="133"/>
      <c r="F17" s="133"/>
      <c r="G17" s="133"/>
      <c r="H17" s="133"/>
      <c r="I17" s="133">
        <v>38792960</v>
      </c>
      <c r="J17" s="133">
        <v>0</v>
      </c>
      <c r="K17" s="133">
        <v>0</v>
      </c>
      <c r="L17" s="133">
        <v>0</v>
      </c>
      <c r="M17" s="148">
        <f t="shared" si="2"/>
        <v>0</v>
      </c>
      <c r="N17" s="133"/>
      <c r="O17" s="133"/>
      <c r="P17" s="133"/>
      <c r="Q17" s="133"/>
      <c r="R17" s="133">
        <v>0</v>
      </c>
      <c r="S17" s="133">
        <v>0</v>
      </c>
      <c r="T17" s="133">
        <v>0</v>
      </c>
      <c r="U17" s="133">
        <v>0</v>
      </c>
    </row>
    <row r="18" spans="1:21" ht="30">
      <c r="A18" s="114"/>
      <c r="B18" s="114" t="s">
        <v>997</v>
      </c>
      <c r="C18" s="160" t="s">
        <v>998</v>
      </c>
      <c r="D18" s="148">
        <f t="shared" si="0"/>
        <v>280000</v>
      </c>
      <c r="E18" s="133">
        <v>0</v>
      </c>
      <c r="F18" s="133">
        <v>0</v>
      </c>
      <c r="G18" s="133">
        <v>0</v>
      </c>
      <c r="H18" s="133">
        <v>0</v>
      </c>
      <c r="I18" s="133">
        <v>280000</v>
      </c>
      <c r="J18" s="133">
        <v>0</v>
      </c>
      <c r="K18" s="133">
        <v>0</v>
      </c>
      <c r="L18" s="133">
        <v>0</v>
      </c>
      <c r="M18" s="148">
        <f t="shared" si="2"/>
        <v>280000</v>
      </c>
      <c r="N18" s="133">
        <v>0</v>
      </c>
      <c r="O18" s="133">
        <v>0</v>
      </c>
      <c r="P18" s="133">
        <v>0</v>
      </c>
      <c r="Q18" s="133">
        <v>0</v>
      </c>
      <c r="R18" s="133">
        <v>280000</v>
      </c>
      <c r="S18" s="133">
        <v>0</v>
      </c>
      <c r="T18" s="133">
        <v>0</v>
      </c>
      <c r="U18" s="133">
        <v>0</v>
      </c>
    </row>
    <row r="19" spans="1:21" ht="18">
      <c r="A19" s="114"/>
      <c r="B19" s="114" t="s">
        <v>999</v>
      </c>
      <c r="C19" s="160" t="s">
        <v>1000</v>
      </c>
      <c r="D19" s="148">
        <f t="shared" si="0"/>
        <v>18245500</v>
      </c>
      <c r="E19" s="133">
        <v>0</v>
      </c>
      <c r="F19" s="133">
        <v>0</v>
      </c>
      <c r="G19" s="133">
        <v>0</v>
      </c>
      <c r="H19" s="133">
        <v>0</v>
      </c>
      <c r="I19" s="133">
        <v>18245500</v>
      </c>
      <c r="J19" s="133">
        <v>0</v>
      </c>
      <c r="K19" s="133">
        <v>0</v>
      </c>
      <c r="L19" s="133">
        <v>0</v>
      </c>
      <c r="M19" s="148">
        <f t="shared" si="2"/>
        <v>18245500</v>
      </c>
      <c r="N19" s="133">
        <v>0</v>
      </c>
      <c r="O19" s="133">
        <v>0</v>
      </c>
      <c r="P19" s="133">
        <v>0</v>
      </c>
      <c r="Q19" s="133">
        <v>0</v>
      </c>
      <c r="R19" s="133">
        <v>18245500</v>
      </c>
      <c r="S19" s="133">
        <v>0</v>
      </c>
      <c r="T19" s="133">
        <v>0</v>
      </c>
      <c r="U19" s="133">
        <v>0</v>
      </c>
    </row>
    <row r="20" spans="1:21" ht="18">
      <c r="A20" s="114"/>
      <c r="B20" s="114" t="s">
        <v>1001</v>
      </c>
      <c r="C20" s="160" t="s">
        <v>1002</v>
      </c>
      <c r="D20" s="148">
        <f t="shared" si="0"/>
        <v>3800000</v>
      </c>
      <c r="E20" s="133">
        <v>0</v>
      </c>
      <c r="F20" s="133">
        <v>0</v>
      </c>
      <c r="G20" s="133">
        <v>0</v>
      </c>
      <c r="H20" s="133">
        <v>0</v>
      </c>
      <c r="I20" s="133">
        <v>3800000</v>
      </c>
      <c r="J20" s="133">
        <v>0</v>
      </c>
      <c r="K20" s="133">
        <v>0</v>
      </c>
      <c r="L20" s="133">
        <v>0</v>
      </c>
      <c r="M20" s="148">
        <f t="shared" si="2"/>
        <v>3800000</v>
      </c>
      <c r="N20" s="133">
        <v>0</v>
      </c>
      <c r="O20" s="133">
        <v>0</v>
      </c>
      <c r="P20" s="133">
        <v>0</v>
      </c>
      <c r="Q20" s="133">
        <v>0</v>
      </c>
      <c r="R20" s="133">
        <v>3800000</v>
      </c>
      <c r="S20" s="133">
        <v>0</v>
      </c>
      <c r="T20" s="133">
        <v>0</v>
      </c>
      <c r="U20" s="133">
        <v>0</v>
      </c>
    </row>
    <row r="21" spans="1:21" ht="18">
      <c r="A21" s="114"/>
      <c r="B21" s="114" t="s">
        <v>1003</v>
      </c>
      <c r="C21" s="160" t="s">
        <v>1004</v>
      </c>
      <c r="D21" s="148">
        <f t="shared" si="0"/>
        <v>2500000</v>
      </c>
      <c r="E21" s="133">
        <v>0</v>
      </c>
      <c r="F21" s="133">
        <v>0</v>
      </c>
      <c r="G21" s="133">
        <v>0</v>
      </c>
      <c r="H21" s="133">
        <v>0</v>
      </c>
      <c r="I21" s="133">
        <v>2500000</v>
      </c>
      <c r="J21" s="133"/>
      <c r="K21" s="133"/>
      <c r="L21" s="133"/>
      <c r="M21" s="148">
        <f t="shared" si="2"/>
        <v>2500000</v>
      </c>
      <c r="N21" s="133">
        <v>0</v>
      </c>
      <c r="O21" s="133">
        <v>0</v>
      </c>
      <c r="P21" s="133">
        <v>0</v>
      </c>
      <c r="Q21" s="133">
        <v>0</v>
      </c>
      <c r="R21" s="133">
        <v>2500000</v>
      </c>
      <c r="S21" s="133"/>
      <c r="T21" s="133"/>
      <c r="U21" s="133"/>
    </row>
    <row r="22" spans="1:21" ht="18">
      <c r="A22" s="114"/>
      <c r="B22" s="114" t="s">
        <v>1005</v>
      </c>
      <c r="C22" s="160" t="s">
        <v>1006</v>
      </c>
      <c r="D22" s="148">
        <f t="shared" si="0"/>
        <v>3800000</v>
      </c>
      <c r="E22" s="133">
        <v>0</v>
      </c>
      <c r="F22" s="133">
        <v>0</v>
      </c>
      <c r="G22" s="133">
        <v>0</v>
      </c>
      <c r="H22" s="133">
        <v>0</v>
      </c>
      <c r="I22" s="133">
        <v>3800000</v>
      </c>
      <c r="J22" s="133">
        <v>0</v>
      </c>
      <c r="K22" s="133">
        <v>0</v>
      </c>
      <c r="L22" s="133">
        <v>0</v>
      </c>
      <c r="M22" s="148">
        <f t="shared" si="2"/>
        <v>3800000</v>
      </c>
      <c r="N22" s="133">
        <v>0</v>
      </c>
      <c r="O22" s="133">
        <v>0</v>
      </c>
      <c r="P22" s="133">
        <v>0</v>
      </c>
      <c r="Q22" s="133">
        <v>0</v>
      </c>
      <c r="R22" s="133">
        <v>3800000</v>
      </c>
      <c r="S22" s="133">
        <v>0</v>
      </c>
      <c r="T22" s="133">
        <v>0</v>
      </c>
      <c r="U22" s="133">
        <v>0</v>
      </c>
    </row>
    <row r="23" spans="1:21" ht="18">
      <c r="A23" s="114"/>
      <c r="B23" s="114" t="s">
        <v>1007</v>
      </c>
      <c r="C23" s="160" t="s">
        <v>1008</v>
      </c>
      <c r="D23" s="148">
        <f t="shared" si="0"/>
        <v>5000000</v>
      </c>
      <c r="E23" s="133">
        <v>0</v>
      </c>
      <c r="F23" s="133">
        <v>0</v>
      </c>
      <c r="G23" s="133">
        <v>0</v>
      </c>
      <c r="H23" s="133">
        <v>0</v>
      </c>
      <c r="I23" s="133">
        <v>5000000</v>
      </c>
      <c r="J23" s="133">
        <v>0</v>
      </c>
      <c r="K23" s="133">
        <v>0</v>
      </c>
      <c r="L23" s="133">
        <v>0</v>
      </c>
      <c r="M23" s="148">
        <f t="shared" si="2"/>
        <v>5000000</v>
      </c>
      <c r="N23" s="133">
        <v>0</v>
      </c>
      <c r="O23" s="133">
        <v>0</v>
      </c>
      <c r="P23" s="133">
        <v>0</v>
      </c>
      <c r="Q23" s="133">
        <v>0</v>
      </c>
      <c r="R23" s="133">
        <v>5000000</v>
      </c>
      <c r="S23" s="133">
        <v>0</v>
      </c>
      <c r="T23" s="133">
        <v>0</v>
      </c>
      <c r="U23" s="133">
        <v>0</v>
      </c>
    </row>
    <row r="24" spans="1:21" ht="30">
      <c r="A24" s="114"/>
      <c r="B24" s="114" t="s">
        <v>1009</v>
      </c>
      <c r="C24" s="160" t="s">
        <v>1010</v>
      </c>
      <c r="D24" s="148">
        <f t="shared" si="0"/>
        <v>120000000</v>
      </c>
      <c r="E24" s="133">
        <v>0</v>
      </c>
      <c r="F24" s="133">
        <v>0</v>
      </c>
      <c r="G24" s="133">
        <v>0</v>
      </c>
      <c r="H24" s="133">
        <v>0</v>
      </c>
      <c r="I24" s="133">
        <v>120000000</v>
      </c>
      <c r="J24" s="133">
        <v>0</v>
      </c>
      <c r="K24" s="133">
        <v>0</v>
      </c>
      <c r="L24" s="133">
        <v>0</v>
      </c>
      <c r="M24" s="148">
        <f t="shared" si="2"/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</row>
    <row r="25" spans="1:21" ht="18">
      <c r="A25" s="114"/>
      <c r="B25" s="114" t="s">
        <v>1011</v>
      </c>
      <c r="C25" s="160" t="s">
        <v>1079</v>
      </c>
      <c r="D25" s="148">
        <f t="shared" si="0"/>
        <v>9250000</v>
      </c>
      <c r="E25" s="133">
        <v>0</v>
      </c>
      <c r="F25" s="133">
        <v>0</v>
      </c>
      <c r="G25" s="133">
        <v>0</v>
      </c>
      <c r="H25" s="133">
        <v>0</v>
      </c>
      <c r="I25" s="133">
        <v>9250000</v>
      </c>
      <c r="J25" s="133">
        <v>0</v>
      </c>
      <c r="K25" s="133">
        <v>0</v>
      </c>
      <c r="L25" s="133">
        <v>0</v>
      </c>
      <c r="M25" s="148">
        <f t="shared" si="2"/>
        <v>9250000</v>
      </c>
      <c r="N25" s="133">
        <v>0</v>
      </c>
      <c r="O25" s="133">
        <v>0</v>
      </c>
      <c r="P25" s="133">
        <v>0</v>
      </c>
      <c r="Q25" s="133">
        <v>0</v>
      </c>
      <c r="R25" s="133">
        <v>9250000</v>
      </c>
      <c r="S25" s="133">
        <v>0</v>
      </c>
      <c r="T25" s="133">
        <v>0</v>
      </c>
      <c r="U25" s="133">
        <v>0</v>
      </c>
    </row>
    <row r="26" spans="1:21" ht="18">
      <c r="A26" s="114"/>
      <c r="B26" s="114" t="s">
        <v>1012</v>
      </c>
      <c r="C26" s="160" t="s">
        <v>1013</v>
      </c>
      <c r="D26" s="148">
        <f t="shared" si="0"/>
        <v>2900000</v>
      </c>
      <c r="E26" s="133">
        <v>0</v>
      </c>
      <c r="F26" s="133">
        <v>0</v>
      </c>
      <c r="G26" s="133">
        <v>0</v>
      </c>
      <c r="H26" s="133">
        <v>0</v>
      </c>
      <c r="I26" s="133">
        <v>2900000</v>
      </c>
      <c r="J26" s="133">
        <v>0</v>
      </c>
      <c r="K26" s="133">
        <v>0</v>
      </c>
      <c r="L26" s="133">
        <v>0</v>
      </c>
      <c r="M26" s="148">
        <f t="shared" si="2"/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</row>
    <row r="27" spans="1:21" ht="30">
      <c r="A27" s="114"/>
      <c r="B27" s="114" t="s">
        <v>1014</v>
      </c>
      <c r="C27" s="160" t="s">
        <v>1015</v>
      </c>
      <c r="D27" s="148">
        <f t="shared" si="0"/>
        <v>24000000</v>
      </c>
      <c r="E27" s="133">
        <v>0</v>
      </c>
      <c r="F27" s="133">
        <v>0</v>
      </c>
      <c r="G27" s="133">
        <v>0</v>
      </c>
      <c r="H27" s="133">
        <v>0</v>
      </c>
      <c r="I27" s="133">
        <v>24000000</v>
      </c>
      <c r="J27" s="133">
        <v>0</v>
      </c>
      <c r="K27" s="133">
        <v>0</v>
      </c>
      <c r="L27" s="133">
        <v>0</v>
      </c>
      <c r="M27" s="148">
        <f t="shared" si="2"/>
        <v>24000000</v>
      </c>
      <c r="N27" s="133">
        <v>0</v>
      </c>
      <c r="O27" s="133">
        <v>0</v>
      </c>
      <c r="P27" s="133">
        <v>0</v>
      </c>
      <c r="Q27" s="133">
        <v>0</v>
      </c>
      <c r="R27" s="133">
        <v>24000000</v>
      </c>
      <c r="S27" s="133">
        <v>0</v>
      </c>
      <c r="T27" s="133">
        <v>0</v>
      </c>
      <c r="U27" s="133">
        <v>0</v>
      </c>
    </row>
    <row r="28" spans="1:21" ht="45">
      <c r="A28" s="114"/>
      <c r="B28" s="114" t="s">
        <v>1016</v>
      </c>
      <c r="C28" s="160" t="s">
        <v>1017</v>
      </c>
      <c r="D28" s="148">
        <f t="shared" si="0"/>
        <v>246000000</v>
      </c>
      <c r="E28" s="133">
        <v>0</v>
      </c>
      <c r="F28" s="133">
        <v>0</v>
      </c>
      <c r="G28" s="133">
        <v>0</v>
      </c>
      <c r="H28" s="133">
        <v>0</v>
      </c>
      <c r="I28" s="133">
        <v>246000000</v>
      </c>
      <c r="J28" s="133">
        <v>0</v>
      </c>
      <c r="K28" s="133">
        <v>0</v>
      </c>
      <c r="L28" s="133">
        <v>0</v>
      </c>
      <c r="M28" s="148">
        <f t="shared" si="2"/>
        <v>246000000</v>
      </c>
      <c r="N28" s="133">
        <v>0</v>
      </c>
      <c r="O28" s="133">
        <v>0</v>
      </c>
      <c r="P28" s="133">
        <v>0</v>
      </c>
      <c r="Q28" s="133">
        <v>0</v>
      </c>
      <c r="R28" s="133">
        <v>246000000</v>
      </c>
      <c r="S28" s="133">
        <v>0</v>
      </c>
      <c r="T28" s="133">
        <v>0</v>
      </c>
      <c r="U28" s="133">
        <v>0</v>
      </c>
    </row>
    <row r="29" spans="1:21" ht="30">
      <c r="A29" s="114"/>
      <c r="B29" s="114" t="s">
        <v>1018</v>
      </c>
      <c r="C29" s="173" t="s">
        <v>1019</v>
      </c>
      <c r="D29" s="148">
        <f t="shared" si="0"/>
        <v>90200000</v>
      </c>
      <c r="E29" s="133">
        <v>0</v>
      </c>
      <c r="F29" s="133">
        <v>0</v>
      </c>
      <c r="G29" s="133">
        <v>0</v>
      </c>
      <c r="H29" s="133">
        <v>0</v>
      </c>
      <c r="I29" s="174">
        <v>90200000</v>
      </c>
      <c r="J29" s="133">
        <v>0</v>
      </c>
      <c r="K29" s="133">
        <v>0</v>
      </c>
      <c r="L29" s="133">
        <v>0</v>
      </c>
      <c r="M29" s="148">
        <f t="shared" si="2"/>
        <v>90200000</v>
      </c>
      <c r="N29" s="133">
        <v>0</v>
      </c>
      <c r="O29" s="133">
        <v>0</v>
      </c>
      <c r="P29" s="133">
        <v>0</v>
      </c>
      <c r="Q29" s="133">
        <v>0</v>
      </c>
      <c r="R29" s="174">
        <v>90200000</v>
      </c>
      <c r="S29" s="133">
        <v>0</v>
      </c>
      <c r="T29" s="133">
        <v>0</v>
      </c>
      <c r="U29" s="133">
        <v>0</v>
      </c>
    </row>
    <row r="30" spans="1:21" ht="30">
      <c r="A30" s="114"/>
      <c r="B30" s="114" t="s">
        <v>1020</v>
      </c>
      <c r="C30" s="173" t="s">
        <v>1021</v>
      </c>
      <c r="D30" s="148">
        <f t="shared" si="0"/>
        <v>0</v>
      </c>
      <c r="E30" s="133">
        <v>0</v>
      </c>
      <c r="F30" s="133">
        <v>0</v>
      </c>
      <c r="G30" s="133">
        <v>0</v>
      </c>
      <c r="H30" s="133">
        <v>0</v>
      </c>
      <c r="I30" s="174">
        <v>0</v>
      </c>
      <c r="J30" s="133">
        <v>0</v>
      </c>
      <c r="K30" s="133">
        <v>0</v>
      </c>
      <c r="L30" s="133">
        <v>0</v>
      </c>
      <c r="M30" s="148">
        <f t="shared" si="2"/>
        <v>108000000</v>
      </c>
      <c r="N30" s="133">
        <v>0</v>
      </c>
      <c r="O30" s="133">
        <v>0</v>
      </c>
      <c r="P30" s="133">
        <v>0</v>
      </c>
      <c r="Q30" s="133">
        <v>0</v>
      </c>
      <c r="R30" s="174">
        <v>108000000</v>
      </c>
      <c r="S30" s="133">
        <v>0</v>
      </c>
      <c r="T30" s="133">
        <v>0</v>
      </c>
      <c r="U30" s="133">
        <v>0</v>
      </c>
    </row>
    <row r="31" spans="1:21" ht="30">
      <c r="A31" s="114"/>
      <c r="B31" s="114" t="s">
        <v>1022</v>
      </c>
      <c r="C31" s="173" t="s">
        <v>1023</v>
      </c>
      <c r="D31" s="148">
        <f t="shared" si="0"/>
        <v>0</v>
      </c>
      <c r="E31" s="133">
        <v>0</v>
      </c>
      <c r="F31" s="133">
        <v>0</v>
      </c>
      <c r="G31" s="133">
        <v>0</v>
      </c>
      <c r="H31" s="133">
        <v>0</v>
      </c>
      <c r="I31" s="174">
        <v>0</v>
      </c>
      <c r="J31" s="133">
        <v>0</v>
      </c>
      <c r="K31" s="133">
        <v>0</v>
      </c>
      <c r="L31" s="133">
        <v>0</v>
      </c>
      <c r="M31" s="148">
        <f t="shared" si="2"/>
        <v>78200000</v>
      </c>
      <c r="N31" s="133">
        <v>0</v>
      </c>
      <c r="O31" s="133">
        <v>0</v>
      </c>
      <c r="P31" s="133">
        <v>0</v>
      </c>
      <c r="Q31" s="133">
        <v>0</v>
      </c>
      <c r="R31" s="174">
        <v>78200000</v>
      </c>
      <c r="S31" s="133">
        <v>0</v>
      </c>
      <c r="T31" s="133">
        <v>0</v>
      </c>
      <c r="U31" s="133">
        <v>0</v>
      </c>
    </row>
    <row r="32" spans="1:21" ht="30">
      <c r="A32" s="114"/>
      <c r="B32" s="114" t="s">
        <v>1024</v>
      </c>
      <c r="C32" s="173" t="s">
        <v>1025</v>
      </c>
      <c r="D32" s="148">
        <f t="shared" si="0"/>
        <v>0</v>
      </c>
      <c r="E32" s="133">
        <v>0</v>
      </c>
      <c r="F32" s="133">
        <v>0</v>
      </c>
      <c r="G32" s="133">
        <v>0</v>
      </c>
      <c r="H32" s="133">
        <v>0</v>
      </c>
      <c r="I32" s="174">
        <v>0</v>
      </c>
      <c r="J32" s="133">
        <v>0</v>
      </c>
      <c r="K32" s="133">
        <v>0</v>
      </c>
      <c r="L32" s="133">
        <v>0</v>
      </c>
      <c r="M32" s="148">
        <f t="shared" si="2"/>
        <v>27117000</v>
      </c>
      <c r="N32" s="133">
        <v>0</v>
      </c>
      <c r="O32" s="133">
        <v>0</v>
      </c>
      <c r="P32" s="133">
        <v>0</v>
      </c>
      <c r="Q32" s="133">
        <v>0</v>
      </c>
      <c r="R32" s="174">
        <v>27117000</v>
      </c>
      <c r="S32" s="133">
        <v>0</v>
      </c>
      <c r="T32" s="133">
        <v>0</v>
      </c>
      <c r="U32" s="133">
        <v>0</v>
      </c>
    </row>
    <row r="33" spans="1:21" ht="45">
      <c r="A33" s="114"/>
      <c r="B33" s="114" t="s">
        <v>1026</v>
      </c>
      <c r="C33" s="173" t="s">
        <v>1027</v>
      </c>
      <c r="D33" s="148">
        <f t="shared" si="0"/>
        <v>0</v>
      </c>
      <c r="E33" s="133">
        <v>0</v>
      </c>
      <c r="F33" s="133">
        <v>0</v>
      </c>
      <c r="G33" s="133">
        <v>0</v>
      </c>
      <c r="H33" s="133">
        <v>0</v>
      </c>
      <c r="I33" s="174">
        <v>0</v>
      </c>
      <c r="J33" s="133">
        <v>0</v>
      </c>
      <c r="K33" s="133">
        <v>0</v>
      </c>
      <c r="L33" s="133">
        <v>0</v>
      </c>
      <c r="M33" s="148">
        <f t="shared" si="2"/>
        <v>31500000</v>
      </c>
      <c r="N33" s="133">
        <v>0</v>
      </c>
      <c r="O33" s="133">
        <v>0</v>
      </c>
      <c r="P33" s="133">
        <v>0</v>
      </c>
      <c r="Q33" s="133">
        <v>0</v>
      </c>
      <c r="R33" s="174">
        <v>31500000</v>
      </c>
      <c r="S33" s="133">
        <v>0</v>
      </c>
      <c r="T33" s="133">
        <v>0</v>
      </c>
      <c r="U33" s="133">
        <v>0</v>
      </c>
    </row>
    <row r="34" spans="1:21" ht="18">
      <c r="A34" s="114"/>
      <c r="B34" s="114" t="s">
        <v>1028</v>
      </c>
      <c r="C34" s="173" t="s">
        <v>1029</v>
      </c>
      <c r="D34" s="148">
        <f t="shared" si="0"/>
        <v>0</v>
      </c>
      <c r="E34" s="133">
        <v>0</v>
      </c>
      <c r="F34" s="133">
        <v>0</v>
      </c>
      <c r="G34" s="133">
        <v>0</v>
      </c>
      <c r="H34" s="133">
        <v>0</v>
      </c>
      <c r="I34" s="174">
        <v>0</v>
      </c>
      <c r="J34" s="133">
        <v>0</v>
      </c>
      <c r="K34" s="133">
        <v>0</v>
      </c>
      <c r="L34" s="133">
        <v>0</v>
      </c>
      <c r="M34" s="148">
        <f t="shared" si="2"/>
        <v>14000000</v>
      </c>
      <c r="N34" s="133">
        <v>0</v>
      </c>
      <c r="O34" s="133">
        <v>0</v>
      </c>
      <c r="P34" s="133">
        <v>0</v>
      </c>
      <c r="Q34" s="133">
        <v>0</v>
      </c>
      <c r="R34" s="174">
        <v>14000000</v>
      </c>
      <c r="S34" s="133">
        <v>0</v>
      </c>
      <c r="T34" s="133">
        <v>0</v>
      </c>
      <c r="U34" s="133">
        <v>0</v>
      </c>
    </row>
    <row r="35" spans="1:21" ht="18">
      <c r="A35" s="114"/>
      <c r="B35" s="114" t="s">
        <v>1030</v>
      </c>
      <c r="C35" s="173" t="s">
        <v>1031</v>
      </c>
      <c r="D35" s="148">
        <f t="shared" si="0"/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48">
        <f t="shared" si="2"/>
        <v>25000000</v>
      </c>
      <c r="N35" s="133">
        <v>0</v>
      </c>
      <c r="O35" s="133">
        <v>0</v>
      </c>
      <c r="P35" s="133">
        <v>0</v>
      </c>
      <c r="Q35" s="133">
        <v>0</v>
      </c>
      <c r="R35" s="133">
        <v>25000000</v>
      </c>
      <c r="S35" s="133">
        <v>0</v>
      </c>
      <c r="T35" s="133">
        <v>0</v>
      </c>
      <c r="U35" s="133">
        <v>0</v>
      </c>
    </row>
    <row r="36" spans="1:21" ht="18">
      <c r="A36" s="114" t="s">
        <v>161</v>
      </c>
      <c r="B36" s="114"/>
      <c r="C36" s="115" t="s">
        <v>36</v>
      </c>
      <c r="D36" s="129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29">
        <f t="shared" si="2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</row>
    <row r="37" spans="1:21" ht="18">
      <c r="A37" s="114" t="s">
        <v>162</v>
      </c>
      <c r="B37" s="114"/>
      <c r="C37" s="115" t="s">
        <v>38</v>
      </c>
      <c r="D37" s="129">
        <f t="shared" si="0"/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29">
        <v>0</v>
      </c>
      <c r="M37" s="129">
        <f t="shared" si="2"/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29">
        <v>0</v>
      </c>
    </row>
    <row r="38" spans="1:21" ht="18" customHeight="1">
      <c r="A38" s="222" t="s">
        <v>364</v>
      </c>
      <c r="B38" s="222"/>
      <c r="C38" s="222"/>
      <c r="D38" s="129">
        <f t="shared" si="0"/>
        <v>585322062</v>
      </c>
      <c r="E38" s="130">
        <f aca="true" t="shared" si="4" ref="E38:L38">E10+E36+E37</f>
        <v>0</v>
      </c>
      <c r="F38" s="130">
        <f t="shared" si="4"/>
        <v>0</v>
      </c>
      <c r="G38" s="130">
        <f t="shared" si="4"/>
        <v>0</v>
      </c>
      <c r="H38" s="130">
        <f t="shared" si="4"/>
        <v>0</v>
      </c>
      <c r="I38" s="130">
        <f t="shared" si="4"/>
        <v>585322062</v>
      </c>
      <c r="J38" s="130">
        <f t="shared" si="4"/>
        <v>0</v>
      </c>
      <c r="K38" s="130">
        <f t="shared" si="4"/>
        <v>0</v>
      </c>
      <c r="L38" s="130">
        <f t="shared" si="4"/>
        <v>0</v>
      </c>
      <c r="M38" s="129">
        <f t="shared" si="2"/>
        <v>700292709</v>
      </c>
      <c r="N38" s="130">
        <f aca="true" t="shared" si="5" ref="N38:U38">N10+N36+N37</f>
        <v>0</v>
      </c>
      <c r="O38" s="130">
        <f t="shared" si="5"/>
        <v>0</v>
      </c>
      <c r="P38" s="130">
        <f t="shared" si="5"/>
        <v>0</v>
      </c>
      <c r="Q38" s="130">
        <f t="shared" si="5"/>
        <v>0</v>
      </c>
      <c r="R38" s="130">
        <f t="shared" si="5"/>
        <v>700292709</v>
      </c>
      <c r="S38" s="130">
        <f t="shared" si="5"/>
        <v>0</v>
      </c>
      <c r="T38" s="130">
        <f t="shared" si="5"/>
        <v>0</v>
      </c>
      <c r="U38" s="130">
        <f t="shared" si="5"/>
        <v>0</v>
      </c>
    </row>
    <row r="40" ht="12" customHeight="1"/>
  </sheetData>
  <sheetProtection selectLockedCells="1" selectUnlockedCells="1"/>
  <mergeCells count="16">
    <mergeCell ref="A38:C38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U15"/>
  <sheetViews>
    <sheetView view="pageBreakPreview" zoomScale="91" zoomScaleNormal="71" zoomScaleSheetLayoutView="91" zoomScalePageLayoutView="0" workbookViewId="0" topLeftCell="E1">
      <selection activeCell="R1" sqref="R1"/>
    </sheetView>
  </sheetViews>
  <sheetFormatPr defaultColWidth="9.140625" defaultRowHeight="12.75" customHeight="1"/>
  <cols>
    <col min="1" max="1" width="3.28125" style="33" customWidth="1"/>
    <col min="2" max="2" width="4.57421875" style="33" customWidth="1"/>
    <col min="3" max="3" width="5.57421875" style="33" customWidth="1"/>
    <col min="4" max="4" width="14.28125" style="33" customWidth="1"/>
    <col min="5" max="5" width="13.57421875" style="33" customWidth="1"/>
    <col min="6" max="6" width="15.28125" style="33" customWidth="1"/>
    <col min="7" max="7" width="11.57421875" style="33" customWidth="1"/>
    <col min="8" max="8" width="6.140625" style="33" customWidth="1"/>
    <col min="9" max="9" width="14.8515625" style="33" customWidth="1"/>
    <col min="10" max="10" width="13.00390625" style="33" customWidth="1"/>
    <col min="11" max="11" width="15.57421875" style="33" customWidth="1"/>
    <col min="12" max="12" width="14.7109375" style="33" customWidth="1"/>
    <col min="13" max="13" width="12.00390625" style="33" customWidth="1"/>
    <col min="14" max="14" width="17.8515625" style="33" customWidth="1"/>
    <col min="15" max="15" width="12.8515625" style="33" customWidth="1"/>
    <col min="16" max="16" width="15.140625" style="33" customWidth="1"/>
    <col min="17" max="17" width="11.421875" style="33" customWidth="1"/>
    <col min="18" max="18" width="16.7109375" style="33" customWidth="1"/>
    <col min="19" max="177" width="9.140625" style="33" customWidth="1"/>
    <col min="178" max="203" width="9.140625" style="34" customWidth="1"/>
  </cols>
  <sheetData>
    <row r="1" spans="1:229" ht="13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O1" s="35"/>
      <c r="GP1" s="35"/>
      <c r="GQ1" s="35"/>
      <c r="GR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</row>
    <row r="2" spans="1:229" ht="13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R2" s="33" t="s">
        <v>229</v>
      </c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O2" s="35"/>
      <c r="GP2" s="35"/>
      <c r="GQ2" s="35"/>
      <c r="GR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</row>
    <row r="3" spans="1:229" ht="15.75" customHeight="1">
      <c r="A3" s="205" t="s">
        <v>171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O3" s="35"/>
      <c r="GP3" s="35"/>
      <c r="GQ3" s="35"/>
      <c r="GR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</row>
    <row r="4" spans="1:18" s="35" customFormat="1" ht="20.25" customHeight="1">
      <c r="A4" s="211" t="s">
        <v>230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4:18" s="35" customFormat="1" ht="13.5" customHeight="1"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R5" s="39" t="s">
        <v>1</v>
      </c>
    </row>
    <row r="6" spans="1:18" ht="12.75" customHeight="1">
      <c r="A6" s="41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173</v>
      </c>
      <c r="N6" s="41" t="s">
        <v>174</v>
      </c>
      <c r="O6" s="41" t="s">
        <v>175</v>
      </c>
      <c r="P6" s="41" t="s">
        <v>176</v>
      </c>
      <c r="Q6" s="41" t="s">
        <v>177</v>
      </c>
      <c r="R6" s="41" t="s">
        <v>178</v>
      </c>
    </row>
    <row r="7" spans="1:18" ht="12.75" customHeight="1">
      <c r="A7" s="212" t="s">
        <v>14</v>
      </c>
      <c r="B7" s="213" t="s">
        <v>186</v>
      </c>
      <c r="C7" s="213" t="s">
        <v>187</v>
      </c>
      <c r="D7" s="207" t="s">
        <v>188</v>
      </c>
      <c r="E7" s="207" t="s">
        <v>189</v>
      </c>
      <c r="F7" s="207" t="s">
        <v>190</v>
      </c>
      <c r="G7" s="207" t="s">
        <v>191</v>
      </c>
      <c r="H7" s="208" t="s">
        <v>192</v>
      </c>
      <c r="I7" s="207" t="s">
        <v>1077</v>
      </c>
      <c r="J7" s="207" t="s">
        <v>193</v>
      </c>
      <c r="K7" s="209" t="s">
        <v>18</v>
      </c>
      <c r="L7" s="209"/>
      <c r="M7" s="209"/>
      <c r="N7" s="209"/>
      <c r="O7" s="209" t="s">
        <v>20</v>
      </c>
      <c r="P7" s="209"/>
      <c r="Q7" s="209"/>
      <c r="R7" s="209"/>
    </row>
    <row r="8" spans="1:18" ht="66" customHeight="1">
      <c r="A8" s="212"/>
      <c r="B8" s="212"/>
      <c r="C8" s="212"/>
      <c r="D8" s="207"/>
      <c r="E8" s="207"/>
      <c r="F8" s="207"/>
      <c r="G8" s="207"/>
      <c r="H8" s="208"/>
      <c r="I8" s="207"/>
      <c r="J8" s="207"/>
      <c r="K8" s="207" t="s">
        <v>231</v>
      </c>
      <c r="L8" s="207" t="s">
        <v>232</v>
      </c>
      <c r="M8" s="207" t="s">
        <v>233</v>
      </c>
      <c r="N8" s="207" t="s">
        <v>197</v>
      </c>
      <c r="O8" s="207" t="s">
        <v>1034</v>
      </c>
      <c r="P8" s="207" t="s">
        <v>232</v>
      </c>
      <c r="Q8" s="207" t="s">
        <v>233</v>
      </c>
      <c r="R8" s="207" t="s">
        <v>197</v>
      </c>
    </row>
    <row r="9" spans="1:18" s="44" customFormat="1" ht="24.75" customHeight="1">
      <c r="A9" s="212"/>
      <c r="B9" s="212"/>
      <c r="C9" s="212"/>
      <c r="D9" s="207"/>
      <c r="E9" s="207"/>
      <c r="F9" s="207"/>
      <c r="G9" s="207"/>
      <c r="H9" s="208"/>
      <c r="I9" s="207"/>
      <c r="J9" s="207"/>
      <c r="K9" s="207"/>
      <c r="L9" s="207"/>
      <c r="M9" s="207"/>
      <c r="N9" s="207"/>
      <c r="O9" s="207"/>
      <c r="P9" s="207"/>
      <c r="Q9" s="207"/>
      <c r="R9" s="207"/>
    </row>
    <row r="10" spans="1:18" ht="15" customHeight="1">
      <c r="A10" s="80"/>
      <c r="B10" s="45" t="s">
        <v>234</v>
      </c>
      <c r="C10" s="81"/>
      <c r="D10" s="196" t="s">
        <v>203</v>
      </c>
      <c r="E10" s="196"/>
      <c r="F10" s="196"/>
      <c r="G10" s="47"/>
      <c r="H10" s="48"/>
      <c r="I10" s="49">
        <f>SUM(I11:I11)</f>
        <v>589444604</v>
      </c>
      <c r="J10" s="47"/>
      <c r="K10" s="50">
        <f>SUM(K11:K11)</f>
        <v>0</v>
      </c>
      <c r="L10" s="50">
        <f aca="true" t="shared" si="0" ref="L10:R10">SUM(L11:L12)</f>
        <v>8000000</v>
      </c>
      <c r="M10" s="50">
        <f t="shared" si="0"/>
        <v>6875000</v>
      </c>
      <c r="N10" s="50">
        <f t="shared" si="0"/>
        <v>14875000</v>
      </c>
      <c r="O10" s="50">
        <f t="shared" si="0"/>
        <v>0</v>
      </c>
      <c r="P10" s="50">
        <f t="shared" si="0"/>
        <v>33000000</v>
      </c>
      <c r="Q10" s="50">
        <f t="shared" si="0"/>
        <v>6875000</v>
      </c>
      <c r="R10" s="50">
        <f t="shared" si="0"/>
        <v>39875000</v>
      </c>
    </row>
    <row r="11" spans="1:18" s="44" customFormat="1" ht="38.25" customHeight="1">
      <c r="A11" s="82"/>
      <c r="B11" s="51"/>
      <c r="C11" s="51" t="s">
        <v>204</v>
      </c>
      <c r="D11" s="52" t="s">
        <v>205</v>
      </c>
      <c r="E11" s="53" t="s">
        <v>206</v>
      </c>
      <c r="F11" s="53">
        <v>40828</v>
      </c>
      <c r="G11" s="53">
        <v>42725</v>
      </c>
      <c r="H11" s="54" t="s">
        <v>207</v>
      </c>
      <c r="I11" s="55">
        <v>589444604</v>
      </c>
      <c r="J11" s="55">
        <v>0</v>
      </c>
      <c r="K11" s="57">
        <v>0</v>
      </c>
      <c r="L11" s="57">
        <v>8000000</v>
      </c>
      <c r="M11" s="57">
        <v>6875000</v>
      </c>
      <c r="N11" s="50">
        <f>SUM(K11:M11)</f>
        <v>14875000</v>
      </c>
      <c r="O11" s="57">
        <v>0</v>
      </c>
      <c r="P11" s="57">
        <v>8000000</v>
      </c>
      <c r="Q11" s="57">
        <v>6875000</v>
      </c>
      <c r="R11" s="50">
        <f>SUM(O11:Q11)</f>
        <v>14875000</v>
      </c>
    </row>
    <row r="12" spans="1:18" s="44" customFormat="1" ht="38.25" customHeight="1">
      <c r="A12" s="82"/>
      <c r="B12" s="51"/>
      <c r="C12" s="51" t="s">
        <v>208</v>
      </c>
      <c r="D12" s="199" t="s">
        <v>209</v>
      </c>
      <c r="E12" s="199"/>
      <c r="F12" s="53" t="s">
        <v>210</v>
      </c>
      <c r="G12" s="53"/>
      <c r="H12" s="54"/>
      <c r="I12" s="55">
        <v>1000000000</v>
      </c>
      <c r="J12" s="55">
        <v>0</v>
      </c>
      <c r="K12" s="57">
        <v>0</v>
      </c>
      <c r="L12" s="57">
        <v>0</v>
      </c>
      <c r="M12" s="57">
        <v>0</v>
      </c>
      <c r="N12" s="50">
        <f>SUM(K12:M12)</f>
        <v>0</v>
      </c>
      <c r="O12" s="57">
        <v>0</v>
      </c>
      <c r="P12" s="57">
        <v>25000000</v>
      </c>
      <c r="Q12" s="57">
        <v>0</v>
      </c>
      <c r="R12" s="50">
        <f>SUM(O12:Q12)</f>
        <v>25000000</v>
      </c>
    </row>
    <row r="13" spans="1:18" ht="15" customHeight="1">
      <c r="A13" s="80"/>
      <c r="B13" s="45" t="s">
        <v>235</v>
      </c>
      <c r="C13" s="45"/>
      <c r="D13" s="196" t="s">
        <v>211</v>
      </c>
      <c r="E13" s="196"/>
      <c r="F13" s="196"/>
      <c r="G13" s="47"/>
      <c r="H13" s="48"/>
      <c r="I13" s="50">
        <f>SUM(I14:I14)</f>
        <v>3500000000</v>
      </c>
      <c r="J13" s="50">
        <f>SUM(J14:J14)</f>
        <v>0</v>
      </c>
      <c r="K13" s="50">
        <f>SUM(K14:K14)</f>
        <v>0</v>
      </c>
      <c r="L13" s="50">
        <f>SUM(L14:L14)</f>
        <v>55000000</v>
      </c>
      <c r="M13" s="50">
        <f>SUM(M14:M14)</f>
        <v>5000000</v>
      </c>
      <c r="N13" s="50">
        <f>SUM(K13:M13)</f>
        <v>60000000</v>
      </c>
      <c r="O13" s="50">
        <f>SUM(O14:O14)</f>
        <v>0</v>
      </c>
      <c r="P13" s="50">
        <f>SUM(P14:P14)</f>
        <v>55000000</v>
      </c>
      <c r="Q13" s="50">
        <f>SUM(Q14:Q14)</f>
        <v>5000000</v>
      </c>
      <c r="R13" s="50">
        <f>SUM(O13:Q13)</f>
        <v>60000000</v>
      </c>
    </row>
    <row r="14" spans="1:18" s="44" customFormat="1" ht="26.25" customHeight="1">
      <c r="A14" s="82"/>
      <c r="B14" s="51"/>
      <c r="C14" s="51" t="s">
        <v>236</v>
      </c>
      <c r="D14" s="59" t="s">
        <v>213</v>
      </c>
      <c r="E14" s="52" t="s">
        <v>214</v>
      </c>
      <c r="F14" s="60"/>
      <c r="G14" s="53">
        <v>42735</v>
      </c>
      <c r="H14" s="54" t="s">
        <v>207</v>
      </c>
      <c r="I14" s="55">
        <v>3500000000</v>
      </c>
      <c r="J14" s="55">
        <v>0</v>
      </c>
      <c r="K14" s="63">
        <v>0</v>
      </c>
      <c r="L14" s="55">
        <v>55000000</v>
      </c>
      <c r="M14" s="55">
        <v>5000000</v>
      </c>
      <c r="N14" s="50">
        <f>SUM(K14:M14)</f>
        <v>60000000</v>
      </c>
      <c r="O14" s="63">
        <v>0</v>
      </c>
      <c r="P14" s="55">
        <v>55000000</v>
      </c>
      <c r="Q14" s="55">
        <v>5000000</v>
      </c>
      <c r="R14" s="50">
        <f>SUM(O14:Q14)</f>
        <v>60000000</v>
      </c>
    </row>
    <row r="15" spans="1:18" ht="15" customHeight="1">
      <c r="A15" s="192" t="s">
        <v>227</v>
      </c>
      <c r="B15" s="192"/>
      <c r="C15" s="192"/>
      <c r="D15" s="192"/>
      <c r="E15" s="192"/>
      <c r="F15" s="192"/>
      <c r="G15" s="192"/>
      <c r="H15" s="75"/>
      <c r="I15" s="64"/>
      <c r="J15" s="64"/>
      <c r="K15" s="64">
        <f aca="true" t="shared" si="1" ref="K15:R15">K10+K13</f>
        <v>0</v>
      </c>
      <c r="L15" s="64">
        <f t="shared" si="1"/>
        <v>63000000</v>
      </c>
      <c r="M15" s="64">
        <f t="shared" si="1"/>
        <v>11875000</v>
      </c>
      <c r="N15" s="64">
        <f t="shared" si="1"/>
        <v>74875000</v>
      </c>
      <c r="O15" s="64">
        <f t="shared" si="1"/>
        <v>0</v>
      </c>
      <c r="P15" s="64">
        <f t="shared" si="1"/>
        <v>88000000</v>
      </c>
      <c r="Q15" s="64">
        <f t="shared" si="1"/>
        <v>11875000</v>
      </c>
      <c r="R15" s="64">
        <f t="shared" si="1"/>
        <v>99875000</v>
      </c>
    </row>
  </sheetData>
  <sheetProtection selectLockedCells="1" selectUnlockedCells="1"/>
  <mergeCells count="28">
    <mergeCell ref="A1:N1"/>
    <mergeCell ref="A2:N2"/>
    <mergeCell ref="A3:R3"/>
    <mergeCell ref="A4:R4"/>
    <mergeCell ref="A7:A9"/>
    <mergeCell ref="B7:B9"/>
    <mergeCell ref="C7:C9"/>
    <mergeCell ref="D7:D9"/>
    <mergeCell ref="E7:E9"/>
    <mergeCell ref="F7:F9"/>
    <mergeCell ref="I7:I9"/>
    <mergeCell ref="J7:J9"/>
    <mergeCell ref="K7:N7"/>
    <mergeCell ref="O7:R7"/>
    <mergeCell ref="K8:K9"/>
    <mergeCell ref="L8:L9"/>
    <mergeCell ref="M8:M9"/>
    <mergeCell ref="N8:N9"/>
    <mergeCell ref="D13:F13"/>
    <mergeCell ref="A15:G15"/>
    <mergeCell ref="O8:O9"/>
    <mergeCell ref="P8:P9"/>
    <mergeCell ref="Q8:Q9"/>
    <mergeCell ref="R8:R9"/>
    <mergeCell ref="D10:F10"/>
    <mergeCell ref="D12:E12"/>
    <mergeCell ref="G7:G9"/>
    <mergeCell ref="H7:H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G22"/>
  <sheetViews>
    <sheetView view="pageBreakPreview" zoomScale="91" zoomScaleNormal="74" zoomScaleSheetLayoutView="91" zoomScalePageLayoutView="0" workbookViewId="0" topLeftCell="K1">
      <selection activeCell="X1" sqref="X1"/>
    </sheetView>
  </sheetViews>
  <sheetFormatPr defaultColWidth="9.140625" defaultRowHeight="12.75" customHeight="1"/>
  <cols>
    <col min="1" max="1" width="5.57421875" style="33" customWidth="1"/>
    <col min="2" max="2" width="14.28125" style="33" customWidth="1"/>
    <col min="3" max="3" width="13.57421875" style="33" customWidth="1"/>
    <col min="4" max="4" width="15.28125" style="33" customWidth="1"/>
    <col min="5" max="5" width="11.57421875" style="33" customWidth="1"/>
    <col min="6" max="6" width="6.140625" style="33" customWidth="1"/>
    <col min="7" max="8" width="13.00390625" style="33" customWidth="1"/>
    <col min="9" max="13" width="12.421875" style="33" customWidth="1"/>
    <col min="14" max="14" width="13.57421875" style="33" customWidth="1"/>
    <col min="15" max="15" width="10.7109375" style="33" customWidth="1"/>
    <col min="16" max="16" width="15.7109375" style="33" customWidth="1"/>
    <col min="17" max="20" width="12.57421875" style="33" customWidth="1"/>
    <col min="21" max="21" width="13.7109375" style="33" customWidth="1"/>
    <col min="22" max="22" width="13.140625" style="33" customWidth="1"/>
    <col min="23" max="23" width="12.57421875" style="33" customWidth="1"/>
    <col min="24" max="24" width="19.00390625" style="33" customWidth="1"/>
    <col min="25" max="164" width="9.140625" style="33" customWidth="1"/>
    <col min="165" max="190" width="9.140625" style="34" customWidth="1"/>
  </cols>
  <sheetData>
    <row r="1" spans="1:215" ht="13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B1" s="35"/>
      <c r="GC1" s="35"/>
      <c r="GD1" s="35"/>
      <c r="GE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</row>
    <row r="2" spans="1:215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77"/>
      <c r="X2" s="77" t="s">
        <v>237</v>
      </c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B2" s="35"/>
      <c r="GC2" s="35"/>
      <c r="GD2" s="35"/>
      <c r="GE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</row>
    <row r="3" spans="1:215" ht="15.75" customHeight="1">
      <c r="A3" s="205" t="s">
        <v>171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B3" s="35"/>
      <c r="GC3" s="35"/>
      <c r="GD3" s="35"/>
      <c r="GE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</row>
    <row r="4" spans="1:16" s="35" customFormat="1" ht="20.25" customHeight="1">
      <c r="A4" s="211" t="s">
        <v>238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2:24" s="35" customFormat="1" ht="13.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X5" s="35" t="s">
        <v>1</v>
      </c>
    </row>
    <row r="6" spans="1:24" ht="12.75" customHeight="1">
      <c r="A6" s="41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173</v>
      </c>
      <c r="N6" s="41" t="s">
        <v>174</v>
      </c>
      <c r="O6" s="41" t="s">
        <v>175</v>
      </c>
      <c r="P6" s="41" t="s">
        <v>176</v>
      </c>
      <c r="Q6" s="41" t="s">
        <v>177</v>
      </c>
      <c r="R6" s="41" t="s">
        <v>178</v>
      </c>
      <c r="S6" s="41" t="s">
        <v>179</v>
      </c>
      <c r="T6" s="41" t="s">
        <v>180</v>
      </c>
      <c r="U6" s="41" t="s">
        <v>181</v>
      </c>
      <c r="V6" s="41" t="s">
        <v>182</v>
      </c>
      <c r="W6" s="41" t="s">
        <v>183</v>
      </c>
      <c r="X6" s="41" t="s">
        <v>184</v>
      </c>
    </row>
    <row r="7" spans="1:24" ht="12.75" customHeight="1">
      <c r="A7" s="213" t="s">
        <v>187</v>
      </c>
      <c r="B7" s="207" t="s">
        <v>188</v>
      </c>
      <c r="C7" s="207" t="s">
        <v>189</v>
      </c>
      <c r="D7" s="207" t="s">
        <v>190</v>
      </c>
      <c r="E7" s="207" t="s">
        <v>191</v>
      </c>
      <c r="F7" s="208" t="s">
        <v>192</v>
      </c>
      <c r="G7" s="207" t="s">
        <v>1078</v>
      </c>
      <c r="H7" s="207" t="s">
        <v>193</v>
      </c>
      <c r="I7" s="209" t="s">
        <v>18</v>
      </c>
      <c r="J7" s="209"/>
      <c r="K7" s="209"/>
      <c r="L7" s="209"/>
      <c r="M7" s="209"/>
      <c r="N7" s="209"/>
      <c r="O7" s="209"/>
      <c r="P7" s="209"/>
      <c r="Q7" s="209" t="s">
        <v>20</v>
      </c>
      <c r="R7" s="209"/>
      <c r="S7" s="209"/>
      <c r="T7" s="209"/>
      <c r="U7" s="209"/>
      <c r="V7" s="209"/>
      <c r="W7" s="209"/>
      <c r="X7" s="209"/>
    </row>
    <row r="8" spans="1:24" ht="66" customHeight="1">
      <c r="A8" s="213"/>
      <c r="B8" s="207"/>
      <c r="C8" s="207"/>
      <c r="D8" s="207"/>
      <c r="E8" s="207"/>
      <c r="F8" s="208"/>
      <c r="G8" s="207"/>
      <c r="H8" s="207"/>
      <c r="I8" s="207" t="s">
        <v>239</v>
      </c>
      <c r="J8" s="207"/>
      <c r="K8" s="207"/>
      <c r="L8" s="207"/>
      <c r="M8" s="207"/>
      <c r="N8" s="207" t="s">
        <v>195</v>
      </c>
      <c r="O8" s="207" t="s">
        <v>196</v>
      </c>
      <c r="P8" s="207" t="s">
        <v>197</v>
      </c>
      <c r="Q8" s="207" t="s">
        <v>239</v>
      </c>
      <c r="R8" s="207"/>
      <c r="S8" s="207"/>
      <c r="T8" s="207"/>
      <c r="U8" s="207"/>
      <c r="V8" s="207" t="s">
        <v>195</v>
      </c>
      <c r="W8" s="207" t="s">
        <v>196</v>
      </c>
      <c r="X8" s="207" t="s">
        <v>197</v>
      </c>
    </row>
    <row r="9" spans="1:24" s="44" customFormat="1" ht="38.25" customHeight="1">
      <c r="A9" s="213"/>
      <c r="B9" s="207"/>
      <c r="C9" s="207"/>
      <c r="D9" s="207"/>
      <c r="E9" s="207"/>
      <c r="F9" s="208"/>
      <c r="G9" s="207"/>
      <c r="H9" s="207"/>
      <c r="I9" s="79" t="s">
        <v>198</v>
      </c>
      <c r="J9" s="79" t="s">
        <v>199</v>
      </c>
      <c r="K9" s="79" t="s">
        <v>200</v>
      </c>
      <c r="L9" s="78" t="s">
        <v>201</v>
      </c>
      <c r="M9" s="78" t="s">
        <v>202</v>
      </c>
      <c r="N9" s="207"/>
      <c r="O9" s="207"/>
      <c r="P9" s="207"/>
      <c r="Q9" s="79" t="s">
        <v>198</v>
      </c>
      <c r="R9" s="79" t="s">
        <v>199</v>
      </c>
      <c r="S9" s="79" t="s">
        <v>200</v>
      </c>
      <c r="T9" s="78" t="s">
        <v>201</v>
      </c>
      <c r="U9" s="78" t="s">
        <v>202</v>
      </c>
      <c r="V9" s="207"/>
      <c r="W9" s="207"/>
      <c r="X9" s="207"/>
    </row>
    <row r="10" spans="1:24" s="72" customFormat="1" ht="26.25" customHeight="1">
      <c r="A10" s="51" t="s">
        <v>216</v>
      </c>
      <c r="B10" s="191" t="s">
        <v>217</v>
      </c>
      <c r="C10" s="191"/>
      <c r="D10" s="191"/>
      <c r="E10" s="67">
        <v>42766</v>
      </c>
      <c r="F10" s="68" t="s">
        <v>218</v>
      </c>
      <c r="G10" s="69">
        <v>450000000</v>
      </c>
      <c r="H10" s="69"/>
      <c r="I10" s="70">
        <v>20073734</v>
      </c>
      <c r="J10" s="70">
        <v>21000000</v>
      </c>
      <c r="K10" s="70">
        <v>21000000</v>
      </c>
      <c r="L10" s="70">
        <v>21926266</v>
      </c>
      <c r="M10" s="71">
        <f>SUM(I10:L10)</f>
        <v>84000000</v>
      </c>
      <c r="N10" s="70">
        <v>0</v>
      </c>
      <c r="O10" s="70">
        <v>0</v>
      </c>
      <c r="P10" s="64">
        <f>SUM(M10:O10)</f>
        <v>84000000</v>
      </c>
      <c r="Q10" s="70">
        <f aca="true" t="shared" si="0" ref="Q10:T11">I10</f>
        <v>20073734</v>
      </c>
      <c r="R10" s="70">
        <f t="shared" si="0"/>
        <v>21000000</v>
      </c>
      <c r="S10" s="70">
        <f t="shared" si="0"/>
        <v>21000000</v>
      </c>
      <c r="T10" s="70">
        <f t="shared" si="0"/>
        <v>21926266</v>
      </c>
      <c r="U10" s="70">
        <f>SUM(Q10:T10)</f>
        <v>84000000</v>
      </c>
      <c r="V10" s="70">
        <v>0</v>
      </c>
      <c r="W10" s="70">
        <v>0</v>
      </c>
      <c r="X10" s="64">
        <f>SUM(U10:W10)</f>
        <v>84000000</v>
      </c>
    </row>
    <row r="11" spans="1:24" s="72" customFormat="1" ht="26.25" customHeight="1">
      <c r="A11" s="51" t="s">
        <v>219</v>
      </c>
      <c r="B11" s="191" t="s">
        <v>226</v>
      </c>
      <c r="C11" s="191"/>
      <c r="D11" s="191"/>
      <c r="E11" s="67"/>
      <c r="F11" s="68" t="s">
        <v>207</v>
      </c>
      <c r="G11" s="69">
        <v>254000000</v>
      </c>
      <c r="H11" s="69"/>
      <c r="I11" s="70">
        <v>5250000</v>
      </c>
      <c r="J11" s="70">
        <v>5250000</v>
      </c>
      <c r="K11" s="70">
        <v>5250000</v>
      </c>
      <c r="L11" s="70">
        <v>5250000</v>
      </c>
      <c r="M11" s="71">
        <f>SUM(I11:L11)</f>
        <v>21000000</v>
      </c>
      <c r="N11" s="69">
        <v>0</v>
      </c>
      <c r="O11" s="69">
        <v>0</v>
      </c>
      <c r="P11" s="64">
        <f>SUM(M11:O11)</f>
        <v>21000000</v>
      </c>
      <c r="Q11" s="70">
        <f t="shared" si="0"/>
        <v>5250000</v>
      </c>
      <c r="R11" s="70">
        <f t="shared" si="0"/>
        <v>5250000</v>
      </c>
      <c r="S11" s="70">
        <f t="shared" si="0"/>
        <v>5250000</v>
      </c>
      <c r="T11" s="70">
        <f t="shared" si="0"/>
        <v>5250000</v>
      </c>
      <c r="U11" s="70">
        <f>SUM(Q11:T11)</f>
        <v>21000000</v>
      </c>
      <c r="V11" s="69">
        <v>0</v>
      </c>
      <c r="W11" s="69">
        <v>0</v>
      </c>
      <c r="X11" s="64">
        <f>SUM(U11:W11)</f>
        <v>21000000</v>
      </c>
    </row>
    <row r="12" spans="1:24" ht="15" customHeight="1">
      <c r="A12" s="198" t="s">
        <v>227</v>
      </c>
      <c r="B12" s="198"/>
      <c r="C12" s="198"/>
      <c r="D12" s="198"/>
      <c r="E12" s="198"/>
      <c r="F12" s="75"/>
      <c r="G12" s="64"/>
      <c r="H12" s="64"/>
      <c r="I12" s="64">
        <f aca="true" t="shared" si="1" ref="I12:X12">SUM(I10:I11)</f>
        <v>25323734</v>
      </c>
      <c r="J12" s="64">
        <f t="shared" si="1"/>
        <v>26250000</v>
      </c>
      <c r="K12" s="64">
        <f t="shared" si="1"/>
        <v>26250000</v>
      </c>
      <c r="L12" s="64">
        <f t="shared" si="1"/>
        <v>27176266</v>
      </c>
      <c r="M12" s="64">
        <f t="shared" si="1"/>
        <v>105000000</v>
      </c>
      <c r="N12" s="64">
        <f t="shared" si="1"/>
        <v>0</v>
      </c>
      <c r="O12" s="64">
        <f t="shared" si="1"/>
        <v>0</v>
      </c>
      <c r="P12" s="64">
        <f t="shared" si="1"/>
        <v>105000000</v>
      </c>
      <c r="Q12" s="64">
        <f t="shared" si="1"/>
        <v>25323734</v>
      </c>
      <c r="R12" s="64">
        <f t="shared" si="1"/>
        <v>26250000</v>
      </c>
      <c r="S12" s="64">
        <f t="shared" si="1"/>
        <v>26250000</v>
      </c>
      <c r="T12" s="64">
        <f t="shared" si="1"/>
        <v>27176266</v>
      </c>
      <c r="U12" s="64">
        <f t="shared" si="1"/>
        <v>105000000</v>
      </c>
      <c r="V12" s="64">
        <f t="shared" si="1"/>
        <v>0</v>
      </c>
      <c r="W12" s="64">
        <f t="shared" si="1"/>
        <v>0</v>
      </c>
      <c r="X12" s="64">
        <f t="shared" si="1"/>
        <v>105000000</v>
      </c>
    </row>
    <row r="14" spans="1:16" ht="18" customHeight="1">
      <c r="A14" s="211" t="s">
        <v>240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</row>
    <row r="15" ht="12.75" customHeight="1">
      <c r="P15" s="77"/>
    </row>
    <row r="16" spans="1:24" ht="12.75" customHeight="1">
      <c r="A16" s="41" t="s">
        <v>2</v>
      </c>
      <c r="B16" s="41" t="s">
        <v>3</v>
      </c>
      <c r="C16" s="41" t="s">
        <v>4</v>
      </c>
      <c r="D16" s="41" t="s">
        <v>5</v>
      </c>
      <c r="E16" s="41" t="s">
        <v>6</v>
      </c>
      <c r="F16" s="41" t="s">
        <v>7</v>
      </c>
      <c r="G16" s="41" t="s">
        <v>8</v>
      </c>
      <c r="H16" s="41" t="s">
        <v>9</v>
      </c>
      <c r="I16" s="41" t="s">
        <v>10</v>
      </c>
      <c r="J16" s="41" t="s">
        <v>11</v>
      </c>
      <c r="K16" s="41" t="s">
        <v>12</v>
      </c>
      <c r="L16" s="41" t="s">
        <v>13</v>
      </c>
      <c r="M16" s="41" t="s">
        <v>173</v>
      </c>
      <c r="N16" s="41" t="s">
        <v>174</v>
      </c>
      <c r="O16" s="41" t="s">
        <v>175</v>
      </c>
      <c r="P16" s="41" t="s">
        <v>176</v>
      </c>
      <c r="Q16" s="41" t="s">
        <v>177</v>
      </c>
      <c r="R16" s="41" t="s">
        <v>178</v>
      </c>
      <c r="S16" s="41" t="s">
        <v>179</v>
      </c>
      <c r="T16" s="41" t="s">
        <v>180</v>
      </c>
      <c r="U16" s="41" t="s">
        <v>181</v>
      </c>
      <c r="V16" s="41" t="s">
        <v>182</v>
      </c>
      <c r="W16" s="41" t="s">
        <v>183</v>
      </c>
      <c r="X16" s="41" t="s">
        <v>184</v>
      </c>
    </row>
    <row r="17" spans="1:24" ht="12.75" customHeight="1">
      <c r="A17" s="213" t="s">
        <v>187</v>
      </c>
      <c r="B17" s="207" t="s">
        <v>188</v>
      </c>
      <c r="C17" s="207" t="s">
        <v>189</v>
      </c>
      <c r="D17" s="207" t="s">
        <v>190</v>
      </c>
      <c r="E17" s="207" t="s">
        <v>191</v>
      </c>
      <c r="F17" s="208" t="s">
        <v>192</v>
      </c>
      <c r="G17" s="207" t="s">
        <v>1080</v>
      </c>
      <c r="H17" s="207" t="s">
        <v>193</v>
      </c>
      <c r="I17" s="209" t="s">
        <v>18</v>
      </c>
      <c r="J17" s="209"/>
      <c r="K17" s="209"/>
      <c r="L17" s="209"/>
      <c r="M17" s="209"/>
      <c r="N17" s="209"/>
      <c r="O17" s="209"/>
      <c r="P17" s="209"/>
      <c r="Q17" s="209" t="s">
        <v>20</v>
      </c>
      <c r="R17" s="209"/>
      <c r="S17" s="209"/>
      <c r="T17" s="209"/>
      <c r="U17" s="209"/>
      <c r="V17" s="209"/>
      <c r="W17" s="209"/>
      <c r="X17" s="209"/>
    </row>
    <row r="18" spans="1:24" ht="66" customHeight="1">
      <c r="A18" s="213"/>
      <c r="B18" s="207"/>
      <c r="C18" s="207"/>
      <c r="D18" s="207"/>
      <c r="E18" s="207"/>
      <c r="F18" s="208"/>
      <c r="G18" s="207"/>
      <c r="H18" s="207"/>
      <c r="I18" s="207" t="s">
        <v>239</v>
      </c>
      <c r="J18" s="207"/>
      <c r="K18" s="207"/>
      <c r="L18" s="207"/>
      <c r="M18" s="207"/>
      <c r="N18" s="207" t="s">
        <v>195</v>
      </c>
      <c r="O18" s="207" t="s">
        <v>196</v>
      </c>
      <c r="P18" s="207" t="s">
        <v>197</v>
      </c>
      <c r="Q18" s="207" t="s">
        <v>239</v>
      </c>
      <c r="R18" s="207"/>
      <c r="S18" s="207"/>
      <c r="T18" s="207"/>
      <c r="U18" s="207"/>
      <c r="V18" s="207" t="s">
        <v>195</v>
      </c>
      <c r="W18" s="207" t="s">
        <v>196</v>
      </c>
      <c r="X18" s="207" t="s">
        <v>197</v>
      </c>
    </row>
    <row r="19" spans="1:24" s="44" customFormat="1" ht="24.75" customHeight="1">
      <c r="A19" s="213"/>
      <c r="B19" s="207"/>
      <c r="C19" s="207"/>
      <c r="D19" s="207"/>
      <c r="E19" s="207"/>
      <c r="F19" s="208"/>
      <c r="G19" s="207"/>
      <c r="H19" s="207"/>
      <c r="I19" s="79" t="s">
        <v>198</v>
      </c>
      <c r="J19" s="79" t="s">
        <v>199</v>
      </c>
      <c r="K19" s="79" t="s">
        <v>200</v>
      </c>
      <c r="L19" s="78" t="s">
        <v>201</v>
      </c>
      <c r="M19" s="78" t="s">
        <v>202</v>
      </c>
      <c r="N19" s="207"/>
      <c r="O19" s="207"/>
      <c r="P19" s="207"/>
      <c r="Q19" s="79" t="s">
        <v>198</v>
      </c>
      <c r="R19" s="79" t="s">
        <v>199</v>
      </c>
      <c r="S19" s="79" t="s">
        <v>200</v>
      </c>
      <c r="T19" s="78" t="s">
        <v>201</v>
      </c>
      <c r="U19" s="78" t="s">
        <v>202</v>
      </c>
      <c r="V19" s="207"/>
      <c r="W19" s="207"/>
      <c r="X19" s="207"/>
    </row>
    <row r="20" spans="1:24" s="72" customFormat="1" ht="27" customHeight="1">
      <c r="A20" s="51" t="s">
        <v>223</v>
      </c>
      <c r="B20" s="191" t="s">
        <v>241</v>
      </c>
      <c r="C20" s="191"/>
      <c r="D20" s="191"/>
      <c r="E20" s="191"/>
      <c r="F20" s="76"/>
      <c r="G20" s="84"/>
      <c r="H20" s="84"/>
      <c r="I20" s="71">
        <v>0</v>
      </c>
      <c r="J20" s="71">
        <v>0</v>
      </c>
      <c r="K20" s="71">
        <v>0</v>
      </c>
      <c r="L20" s="71">
        <v>0</v>
      </c>
      <c r="M20" s="71">
        <f>SUM(I20:L20)</f>
        <v>0</v>
      </c>
      <c r="N20" s="69">
        <v>400000</v>
      </c>
      <c r="O20" s="71">
        <v>0</v>
      </c>
      <c r="P20" s="64">
        <f>SUM(N20:O20)</f>
        <v>400000</v>
      </c>
      <c r="Q20" s="71">
        <v>0</v>
      </c>
      <c r="R20" s="71">
        <v>0</v>
      </c>
      <c r="S20" s="71">
        <v>0</v>
      </c>
      <c r="T20" s="71">
        <v>0</v>
      </c>
      <c r="U20" s="71">
        <f>SUM(Q20:T20)</f>
        <v>0</v>
      </c>
      <c r="V20" s="69">
        <v>400000</v>
      </c>
      <c r="W20" s="71">
        <v>0</v>
      </c>
      <c r="X20" s="64">
        <f>SUM(V20:W20)</f>
        <v>400000</v>
      </c>
    </row>
    <row r="21" spans="1:24" s="72" customFormat="1" ht="27" customHeight="1">
      <c r="A21" s="51" t="s">
        <v>225</v>
      </c>
      <c r="B21" s="191" t="s">
        <v>226</v>
      </c>
      <c r="C21" s="191"/>
      <c r="D21" s="191"/>
      <c r="E21" s="66"/>
      <c r="F21" s="76"/>
      <c r="G21" s="84"/>
      <c r="H21" s="84"/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69">
        <v>6630000</v>
      </c>
      <c r="O21" s="71"/>
      <c r="P21" s="64">
        <f>SUM(N21:O21)</f>
        <v>6630000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69">
        <v>6630000</v>
      </c>
      <c r="W21" s="71">
        <v>0</v>
      </c>
      <c r="X21" s="64">
        <f>SUM(V21:W21)</f>
        <v>6630000</v>
      </c>
    </row>
    <row r="22" spans="1:24" ht="15" customHeight="1">
      <c r="A22" s="198" t="s">
        <v>227</v>
      </c>
      <c r="B22" s="198"/>
      <c r="C22" s="198"/>
      <c r="D22" s="198"/>
      <c r="E22" s="198"/>
      <c r="F22" s="75"/>
      <c r="G22" s="64"/>
      <c r="H22" s="64"/>
      <c r="I22" s="64">
        <f>SUM(I20)</f>
        <v>0</v>
      </c>
      <c r="J22" s="64">
        <f>SUM(J20)</f>
        <v>0</v>
      </c>
      <c r="K22" s="64">
        <f>SUM(K20)</f>
        <v>0</v>
      </c>
      <c r="L22" s="64">
        <f>SUM(L20)</f>
        <v>0</v>
      </c>
      <c r="M22" s="64">
        <f>SUM(M20)</f>
        <v>0</v>
      </c>
      <c r="N22" s="64">
        <f>SUM(N20:N21)</f>
        <v>7030000</v>
      </c>
      <c r="O22" s="64">
        <f>SUM(O20:O20)</f>
        <v>0</v>
      </c>
      <c r="P22" s="64">
        <f>SUM(P20:P21)</f>
        <v>7030000</v>
      </c>
      <c r="Q22" s="64">
        <f>SUM(Q20)</f>
        <v>0</v>
      </c>
      <c r="R22" s="64">
        <f>SUM(R20)</f>
        <v>0</v>
      </c>
      <c r="S22" s="64">
        <f>SUM(S20)</f>
        <v>0</v>
      </c>
      <c r="T22" s="64">
        <f>SUM(T20)</f>
        <v>0</v>
      </c>
      <c r="U22" s="64">
        <f>SUM(U20)</f>
        <v>0</v>
      </c>
      <c r="V22" s="64">
        <f>SUM(V20:V21)</f>
        <v>7030000</v>
      </c>
      <c r="W22" s="64">
        <f>SUM(W20:W20)</f>
        <v>0</v>
      </c>
      <c r="X22" s="64">
        <f>SUM(X20:X21)</f>
        <v>7030000</v>
      </c>
    </row>
  </sheetData>
  <sheetProtection selectLockedCells="1" selectUnlockedCells="1"/>
  <mergeCells count="46">
    <mergeCell ref="A1:P1"/>
    <mergeCell ref="A3:P3"/>
    <mergeCell ref="A4:P4"/>
    <mergeCell ref="A7:A9"/>
    <mergeCell ref="B7:B9"/>
    <mergeCell ref="C7:C9"/>
    <mergeCell ref="D7:D9"/>
    <mergeCell ref="E7:E9"/>
    <mergeCell ref="F7:F9"/>
    <mergeCell ref="G7:G9"/>
    <mergeCell ref="H7:H9"/>
    <mergeCell ref="I7:P7"/>
    <mergeCell ref="Q7:X7"/>
    <mergeCell ref="I8:M8"/>
    <mergeCell ref="N8:N9"/>
    <mergeCell ref="O8:O9"/>
    <mergeCell ref="P8:P9"/>
    <mergeCell ref="Q8:U8"/>
    <mergeCell ref="V8:V9"/>
    <mergeCell ref="W8:W9"/>
    <mergeCell ref="X8:X9"/>
    <mergeCell ref="B10:D10"/>
    <mergeCell ref="B11:D11"/>
    <mergeCell ref="A12:E12"/>
    <mergeCell ref="A14:P14"/>
    <mergeCell ref="A17:A19"/>
    <mergeCell ref="B17:B19"/>
    <mergeCell ref="C17:C19"/>
    <mergeCell ref="D17:D19"/>
    <mergeCell ref="E17:E19"/>
    <mergeCell ref="Q17:X17"/>
    <mergeCell ref="I18:M18"/>
    <mergeCell ref="N18:N19"/>
    <mergeCell ref="O18:O19"/>
    <mergeCell ref="P18:P19"/>
    <mergeCell ref="Q18:U18"/>
    <mergeCell ref="V18:V19"/>
    <mergeCell ref="W18:W19"/>
    <mergeCell ref="X18:X19"/>
    <mergeCell ref="I17:P17"/>
    <mergeCell ref="B20:E20"/>
    <mergeCell ref="B21:D21"/>
    <mergeCell ref="A22:E22"/>
    <mergeCell ref="F17:F19"/>
    <mergeCell ref="G17:G19"/>
    <mergeCell ref="H17:H1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N17"/>
  <sheetViews>
    <sheetView view="pageBreakPreview" zoomScale="96" zoomScaleNormal="74" zoomScaleSheetLayoutView="96" zoomScalePageLayoutView="0" workbookViewId="0" topLeftCell="S1">
      <selection activeCell="AE1" sqref="AE1"/>
    </sheetView>
  </sheetViews>
  <sheetFormatPr defaultColWidth="9.140625" defaultRowHeight="12.75" customHeight="1"/>
  <cols>
    <col min="1" max="1" width="16.00390625" style="85" customWidth="1"/>
    <col min="2" max="2" width="18.140625" style="86" customWidth="1"/>
    <col min="3" max="3" width="12.421875" style="86" customWidth="1"/>
    <col min="4" max="4" width="4.7109375" style="86" customWidth="1"/>
    <col min="5" max="31" width="13.28125" style="86" customWidth="1"/>
    <col min="32" max="223" width="9.140625" style="86" customWidth="1"/>
  </cols>
  <sheetData>
    <row r="1" spans="1:19" ht="15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83"/>
      <c r="O1" s="83"/>
      <c r="P1" s="87"/>
      <c r="Q1" s="87"/>
      <c r="R1" s="87"/>
      <c r="S1" s="87"/>
    </row>
    <row r="2" spans="1:31" ht="15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AE2" s="90" t="s">
        <v>242</v>
      </c>
    </row>
    <row r="3" spans="1:222" ht="15.75" customHeight="1">
      <c r="A3" s="217" t="s">
        <v>243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J3" s="91"/>
      <c r="HK3" s="91"/>
      <c r="HL3" s="91"/>
      <c r="HM3" s="91"/>
      <c r="HN3" s="91"/>
    </row>
    <row r="4" spans="1:222" ht="15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J4" s="91"/>
      <c r="HK4" s="91"/>
      <c r="HL4" s="91"/>
      <c r="HM4" s="91"/>
      <c r="HN4" s="91"/>
    </row>
    <row r="5" spans="22:31" s="91" customFormat="1" ht="13.5" customHeight="1">
      <c r="V5" s="93"/>
      <c r="W5" s="93"/>
      <c r="X5" s="93"/>
      <c r="Y5" s="93"/>
      <c r="Z5" s="93"/>
      <c r="AA5" s="93"/>
      <c r="AB5" s="93"/>
      <c r="AC5" s="93"/>
      <c r="AD5" s="93"/>
      <c r="AE5" s="39" t="s">
        <v>1</v>
      </c>
    </row>
    <row r="6" spans="1:31" s="91" customFormat="1" ht="15.75" customHeight="1">
      <c r="A6" s="94" t="s">
        <v>2</v>
      </c>
      <c r="B6" s="94" t="s">
        <v>3</v>
      </c>
      <c r="C6" s="94" t="s">
        <v>4</v>
      </c>
      <c r="D6" s="94" t="s">
        <v>5</v>
      </c>
      <c r="E6" s="94" t="s">
        <v>6</v>
      </c>
      <c r="F6" s="94" t="s">
        <v>7</v>
      </c>
      <c r="G6" s="94" t="s">
        <v>8</v>
      </c>
      <c r="H6" s="94" t="s">
        <v>9</v>
      </c>
      <c r="I6" s="94" t="s">
        <v>10</v>
      </c>
      <c r="J6" s="94" t="s">
        <v>11</v>
      </c>
      <c r="K6" s="94" t="s">
        <v>12</v>
      </c>
      <c r="L6" s="94" t="s">
        <v>13</v>
      </c>
      <c r="M6" s="94" t="s">
        <v>173</v>
      </c>
      <c r="N6" s="94" t="s">
        <v>174</v>
      </c>
      <c r="O6" s="94" t="s">
        <v>175</v>
      </c>
      <c r="P6" s="94" t="s">
        <v>176</v>
      </c>
      <c r="Q6" s="94" t="s">
        <v>177</v>
      </c>
      <c r="R6" s="94" t="s">
        <v>178</v>
      </c>
      <c r="S6" s="94" t="s">
        <v>179</v>
      </c>
      <c r="T6" s="94" t="s">
        <v>180</v>
      </c>
      <c r="U6" s="94" t="s">
        <v>181</v>
      </c>
      <c r="V6" s="94" t="s">
        <v>182</v>
      </c>
      <c r="W6" s="94" t="s">
        <v>183</v>
      </c>
      <c r="X6" s="94" t="s">
        <v>184</v>
      </c>
      <c r="Y6" s="94" t="s">
        <v>185</v>
      </c>
      <c r="Z6" s="94" t="s">
        <v>244</v>
      </c>
      <c r="AA6" s="94" t="s">
        <v>245</v>
      </c>
      <c r="AB6" s="94" t="s">
        <v>246</v>
      </c>
      <c r="AC6" s="94" t="s">
        <v>247</v>
      </c>
      <c r="AD6" s="94" t="s">
        <v>248</v>
      </c>
      <c r="AE6" s="94" t="s">
        <v>249</v>
      </c>
    </row>
    <row r="7" spans="1:31" ht="105.75" customHeight="1">
      <c r="A7" s="95" t="s">
        <v>250</v>
      </c>
      <c r="B7" s="96" t="s">
        <v>188</v>
      </c>
      <c r="C7" s="97" t="s">
        <v>190</v>
      </c>
      <c r="D7" s="97" t="s">
        <v>192</v>
      </c>
      <c r="E7" s="215">
        <v>2016</v>
      </c>
      <c r="F7" s="215"/>
      <c r="G7" s="215"/>
      <c r="H7" s="215">
        <v>2017</v>
      </c>
      <c r="I7" s="215"/>
      <c r="J7" s="215"/>
      <c r="K7" s="215">
        <v>2018</v>
      </c>
      <c r="L7" s="215"/>
      <c r="M7" s="215"/>
      <c r="N7" s="215">
        <v>2019</v>
      </c>
      <c r="O7" s="215"/>
      <c r="P7" s="215"/>
      <c r="Q7" s="215">
        <v>2020</v>
      </c>
      <c r="R7" s="215"/>
      <c r="S7" s="215"/>
      <c r="T7" s="215">
        <v>2021</v>
      </c>
      <c r="U7" s="215"/>
      <c r="V7" s="215"/>
      <c r="W7" s="215">
        <v>2022</v>
      </c>
      <c r="X7" s="215"/>
      <c r="Y7" s="215"/>
      <c r="Z7" s="215">
        <v>2023</v>
      </c>
      <c r="AA7" s="215"/>
      <c r="AB7" s="215"/>
      <c r="AC7" s="215">
        <v>2024</v>
      </c>
      <c r="AD7" s="215"/>
      <c r="AE7" s="215"/>
    </row>
    <row r="8" spans="1:31" ht="15" customHeight="1">
      <c r="A8" s="98"/>
      <c r="B8" s="96"/>
      <c r="C8" s="96"/>
      <c r="D8" s="97"/>
      <c r="E8" s="96" t="s">
        <v>251</v>
      </c>
      <c r="F8" s="96" t="s">
        <v>252</v>
      </c>
      <c r="G8" s="96" t="s">
        <v>253</v>
      </c>
      <c r="H8" s="96" t="s">
        <v>251</v>
      </c>
      <c r="I8" s="96" t="s">
        <v>252</v>
      </c>
      <c r="J8" s="96" t="s">
        <v>253</v>
      </c>
      <c r="K8" s="96" t="s">
        <v>251</v>
      </c>
      <c r="L8" s="96" t="s">
        <v>252</v>
      </c>
      <c r="M8" s="96" t="s">
        <v>253</v>
      </c>
      <c r="N8" s="96" t="s">
        <v>251</v>
      </c>
      <c r="O8" s="96" t="s">
        <v>252</v>
      </c>
      <c r="P8" s="96" t="s">
        <v>253</v>
      </c>
      <c r="Q8" s="96" t="s">
        <v>251</v>
      </c>
      <c r="R8" s="96" t="s">
        <v>252</v>
      </c>
      <c r="S8" s="96" t="s">
        <v>253</v>
      </c>
      <c r="T8" s="96" t="s">
        <v>251</v>
      </c>
      <c r="U8" s="96" t="s">
        <v>252</v>
      </c>
      <c r="V8" s="96" t="s">
        <v>253</v>
      </c>
      <c r="W8" s="96" t="s">
        <v>251</v>
      </c>
      <c r="X8" s="96" t="s">
        <v>252</v>
      </c>
      <c r="Y8" s="96" t="s">
        <v>253</v>
      </c>
      <c r="Z8" s="96" t="s">
        <v>251</v>
      </c>
      <c r="AA8" s="96" t="s">
        <v>252</v>
      </c>
      <c r="AB8" s="96" t="s">
        <v>253</v>
      </c>
      <c r="AC8" s="96" t="s">
        <v>251</v>
      </c>
      <c r="AD8" s="96" t="s">
        <v>252</v>
      </c>
      <c r="AE8" s="96" t="s">
        <v>253</v>
      </c>
    </row>
    <row r="9" spans="1:31" s="90" customFormat="1" ht="18" customHeight="1">
      <c r="A9" s="196" t="s">
        <v>254</v>
      </c>
      <c r="B9" s="196"/>
      <c r="C9" s="196"/>
      <c r="D9" s="48"/>
      <c r="E9" s="99">
        <f>SUM(E10:E10)</f>
        <v>0</v>
      </c>
      <c r="F9" s="99">
        <f aca="true" t="shared" si="0" ref="F9:V9">SUM(F10:F11)</f>
        <v>39875000</v>
      </c>
      <c r="G9" s="99">
        <f t="shared" si="0"/>
        <v>39875000</v>
      </c>
      <c r="H9" s="99">
        <f t="shared" si="0"/>
        <v>0</v>
      </c>
      <c r="I9" s="99">
        <f t="shared" si="0"/>
        <v>25000000</v>
      </c>
      <c r="J9" s="99">
        <f t="shared" si="0"/>
        <v>25000000</v>
      </c>
      <c r="K9" s="99">
        <f t="shared" si="0"/>
        <v>280000000</v>
      </c>
      <c r="L9" s="99">
        <f t="shared" si="0"/>
        <v>20000000</v>
      </c>
      <c r="M9" s="99">
        <f t="shared" si="0"/>
        <v>300000000</v>
      </c>
      <c r="N9" s="99">
        <f t="shared" si="0"/>
        <v>280000000</v>
      </c>
      <c r="O9" s="99">
        <f t="shared" si="0"/>
        <v>15000000</v>
      </c>
      <c r="P9" s="99">
        <f t="shared" si="0"/>
        <v>295000000</v>
      </c>
      <c r="Q9" s="99">
        <f t="shared" si="0"/>
        <v>280000000</v>
      </c>
      <c r="R9" s="99">
        <f t="shared" si="0"/>
        <v>8000000</v>
      </c>
      <c r="S9" s="99">
        <f t="shared" si="0"/>
        <v>288000000</v>
      </c>
      <c r="T9" s="99">
        <f t="shared" si="0"/>
        <v>160000000</v>
      </c>
      <c r="U9" s="99">
        <f t="shared" si="0"/>
        <v>2000000</v>
      </c>
      <c r="V9" s="99">
        <f t="shared" si="0"/>
        <v>162000000</v>
      </c>
      <c r="W9" s="99"/>
      <c r="X9" s="99"/>
      <c r="Y9" s="99"/>
      <c r="Z9" s="99"/>
      <c r="AA9" s="99"/>
      <c r="AB9" s="99"/>
      <c r="AC9" s="99"/>
      <c r="AD9" s="99"/>
      <c r="AE9" s="99"/>
    </row>
    <row r="10" spans="1:31" s="91" customFormat="1" ht="36.75" customHeight="1">
      <c r="A10" s="53" t="s">
        <v>206</v>
      </c>
      <c r="B10" s="52" t="s">
        <v>255</v>
      </c>
      <c r="C10" s="53">
        <v>40828</v>
      </c>
      <c r="D10" s="54" t="s">
        <v>207</v>
      </c>
      <c r="E10" s="100">
        <v>0</v>
      </c>
      <c r="F10" s="101">
        <v>14875000</v>
      </c>
      <c r="G10" s="64">
        <f>SUM(E10:F10)</f>
        <v>14875000</v>
      </c>
      <c r="H10" s="100">
        <v>0</v>
      </c>
      <c r="I10" s="100">
        <v>0</v>
      </c>
      <c r="J10" s="64">
        <f>SUM(H10:I10)</f>
        <v>0</v>
      </c>
      <c r="K10" s="100">
        <v>0</v>
      </c>
      <c r="L10" s="100">
        <v>0</v>
      </c>
      <c r="M10" s="64">
        <f>SUM(K10:L10)</f>
        <v>0</v>
      </c>
      <c r="N10" s="100"/>
      <c r="O10" s="100"/>
      <c r="P10" s="64"/>
      <c r="Q10" s="100"/>
      <c r="R10" s="100"/>
      <c r="S10" s="64"/>
      <c r="T10" s="100"/>
      <c r="U10" s="100"/>
      <c r="V10" s="64"/>
      <c r="W10" s="100"/>
      <c r="X10" s="100"/>
      <c r="Y10" s="64"/>
      <c r="Z10" s="100"/>
      <c r="AA10" s="100"/>
      <c r="AB10" s="64"/>
      <c r="AC10" s="100"/>
      <c r="AD10" s="100"/>
      <c r="AE10" s="64"/>
    </row>
    <row r="11" spans="1:31" s="91" customFormat="1" ht="36.75" customHeight="1">
      <c r="A11" s="216" t="s">
        <v>256</v>
      </c>
      <c r="B11" s="216"/>
      <c r="C11" s="53" t="s">
        <v>210</v>
      </c>
      <c r="D11" s="54"/>
      <c r="E11" s="100"/>
      <c r="F11" s="101">
        <v>25000000</v>
      </c>
      <c r="G11" s="64">
        <f>SUM(E11:F11)</f>
        <v>25000000</v>
      </c>
      <c r="H11" s="100"/>
      <c r="I11" s="100">
        <v>25000000</v>
      </c>
      <c r="J11" s="64">
        <f>SUM(H11:I11)</f>
        <v>25000000</v>
      </c>
      <c r="K11" s="100">
        <v>280000000</v>
      </c>
      <c r="L11" s="100">
        <v>20000000</v>
      </c>
      <c r="M11" s="64">
        <f>SUM(K11:L11)</f>
        <v>300000000</v>
      </c>
      <c r="N11" s="100">
        <v>280000000</v>
      </c>
      <c r="O11" s="100">
        <v>15000000</v>
      </c>
      <c r="P11" s="64">
        <f>SUM(N11:O11)</f>
        <v>295000000</v>
      </c>
      <c r="Q11" s="100">
        <v>280000000</v>
      </c>
      <c r="R11" s="100">
        <v>8000000</v>
      </c>
      <c r="S11" s="64">
        <f>SUM(Q11:R11)</f>
        <v>288000000</v>
      </c>
      <c r="T11" s="100">
        <v>160000000</v>
      </c>
      <c r="U11" s="100">
        <v>2000000</v>
      </c>
      <c r="V11" s="64">
        <f>SUM(T11:U11)</f>
        <v>162000000</v>
      </c>
      <c r="W11" s="100"/>
      <c r="X11" s="100"/>
      <c r="Y11" s="64"/>
      <c r="Z11" s="100"/>
      <c r="AA11" s="100"/>
      <c r="AB11" s="64"/>
      <c r="AC11" s="100"/>
      <c r="AD11" s="100"/>
      <c r="AE11" s="64"/>
    </row>
    <row r="12" spans="1:31" s="91" customFormat="1" ht="18" customHeight="1">
      <c r="A12" s="196" t="s">
        <v>257</v>
      </c>
      <c r="B12" s="196"/>
      <c r="C12" s="196"/>
      <c r="D12" s="48"/>
      <c r="E12" s="50"/>
      <c r="F12" s="50">
        <f>SUM(F13)</f>
        <v>60000000</v>
      </c>
      <c r="G12" s="64">
        <f>SUM(E12:F12)</f>
        <v>60000000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91" customFormat="1" ht="36.75" customHeight="1">
      <c r="A13" s="53" t="s">
        <v>214</v>
      </c>
      <c r="B13" s="52" t="s">
        <v>258</v>
      </c>
      <c r="C13" s="102"/>
      <c r="D13" s="54" t="s">
        <v>207</v>
      </c>
      <c r="E13" s="103"/>
      <c r="F13" s="103">
        <v>60000000</v>
      </c>
      <c r="G13" s="64">
        <f>SUM(E13:F13)</f>
        <v>60000000</v>
      </c>
      <c r="H13" s="103"/>
      <c r="I13" s="103"/>
      <c r="J13" s="64"/>
      <c r="K13" s="103"/>
      <c r="L13" s="103"/>
      <c r="M13" s="64"/>
      <c r="N13" s="103"/>
      <c r="O13" s="103"/>
      <c r="P13" s="64"/>
      <c r="Q13" s="103"/>
      <c r="R13" s="103"/>
      <c r="S13" s="64"/>
      <c r="T13" s="103"/>
      <c r="U13" s="103"/>
      <c r="V13" s="64"/>
      <c r="W13" s="103"/>
      <c r="X13" s="103"/>
      <c r="Y13" s="64"/>
      <c r="Z13" s="103"/>
      <c r="AA13" s="103"/>
      <c r="AB13" s="64"/>
      <c r="AC13" s="103"/>
      <c r="AD13" s="103"/>
      <c r="AE13" s="64"/>
    </row>
    <row r="14" spans="1:31" s="90" customFormat="1" ht="18" customHeight="1">
      <c r="A14" s="196" t="s">
        <v>259</v>
      </c>
      <c r="B14" s="196"/>
      <c r="C14" s="196"/>
      <c r="D14" s="65"/>
      <c r="E14" s="99">
        <f aca="true" t="shared" si="1" ref="E14:AE14">SUM(E15:E16)</f>
        <v>105000000</v>
      </c>
      <c r="F14" s="99">
        <f t="shared" si="1"/>
        <v>7030000</v>
      </c>
      <c r="G14" s="99">
        <f t="shared" si="1"/>
        <v>112030000</v>
      </c>
      <c r="H14" s="99">
        <f t="shared" si="1"/>
        <v>43000000</v>
      </c>
      <c r="I14" s="99">
        <f t="shared" si="1"/>
        <v>5902000</v>
      </c>
      <c r="J14" s="99">
        <f t="shared" si="1"/>
        <v>48902000</v>
      </c>
      <c r="K14" s="99">
        <f t="shared" si="1"/>
        <v>21000000</v>
      </c>
      <c r="L14" s="99">
        <f t="shared" si="1"/>
        <v>5075000</v>
      </c>
      <c r="M14" s="99">
        <f t="shared" si="1"/>
        <v>26075000</v>
      </c>
      <c r="N14" s="99">
        <f t="shared" si="1"/>
        <v>21000000</v>
      </c>
      <c r="O14" s="99">
        <f t="shared" si="1"/>
        <v>4316000</v>
      </c>
      <c r="P14" s="99">
        <f t="shared" si="1"/>
        <v>25316000</v>
      </c>
      <c r="Q14" s="99">
        <f t="shared" si="1"/>
        <v>21000000</v>
      </c>
      <c r="R14" s="99">
        <f t="shared" si="1"/>
        <v>3594000</v>
      </c>
      <c r="S14" s="99">
        <f t="shared" si="1"/>
        <v>24594000</v>
      </c>
      <c r="T14" s="99">
        <f t="shared" si="1"/>
        <v>21000000</v>
      </c>
      <c r="U14" s="99">
        <f t="shared" si="1"/>
        <v>2853000</v>
      </c>
      <c r="V14" s="99">
        <f t="shared" si="1"/>
        <v>23853000</v>
      </c>
      <c r="W14" s="99">
        <f t="shared" si="1"/>
        <v>21000000</v>
      </c>
      <c r="X14" s="99">
        <f t="shared" si="1"/>
        <v>2123000</v>
      </c>
      <c r="Y14" s="99">
        <f t="shared" si="1"/>
        <v>23123000</v>
      </c>
      <c r="Z14" s="99">
        <f t="shared" si="1"/>
        <v>21000000</v>
      </c>
      <c r="AA14" s="99">
        <f t="shared" si="1"/>
        <v>1393000</v>
      </c>
      <c r="AB14" s="99">
        <f t="shared" si="1"/>
        <v>22393000</v>
      </c>
      <c r="AC14" s="99">
        <f t="shared" si="1"/>
        <v>21000000</v>
      </c>
      <c r="AD14" s="99">
        <f t="shared" si="1"/>
        <v>666000</v>
      </c>
      <c r="AE14" s="99">
        <f t="shared" si="1"/>
        <v>21666000</v>
      </c>
    </row>
    <row r="15" spans="1:31" ht="36.75" customHeight="1">
      <c r="A15" s="214" t="s">
        <v>260</v>
      </c>
      <c r="B15" s="214"/>
      <c r="C15" s="104"/>
      <c r="D15" s="105" t="s">
        <v>261</v>
      </c>
      <c r="E15" s="103">
        <v>84000000</v>
      </c>
      <c r="F15" s="103">
        <v>400000</v>
      </c>
      <c r="G15" s="64">
        <f>SUM(E15:F15)</f>
        <v>84400000</v>
      </c>
      <c r="H15" s="103">
        <v>22000000</v>
      </c>
      <c r="I15" s="103">
        <v>60000</v>
      </c>
      <c r="J15" s="64">
        <f>SUM(H15:I15)</f>
        <v>22060000</v>
      </c>
      <c r="K15" s="103"/>
      <c r="L15" s="103"/>
      <c r="M15" s="64">
        <f>SUM(K15:L15)</f>
        <v>0</v>
      </c>
      <c r="N15" s="103"/>
      <c r="O15" s="103"/>
      <c r="P15" s="64">
        <f>SUM(N15:O15)</f>
        <v>0</v>
      </c>
      <c r="Q15" s="103"/>
      <c r="R15" s="103"/>
      <c r="S15" s="64">
        <f>SUM(Q15:R15)</f>
        <v>0</v>
      </c>
      <c r="T15" s="103"/>
      <c r="U15" s="103"/>
      <c r="V15" s="64">
        <f>SUM(T15:U15)</f>
        <v>0</v>
      </c>
      <c r="W15" s="103"/>
      <c r="X15" s="103"/>
      <c r="Y15" s="64">
        <f>SUM(W15:X15)</f>
        <v>0</v>
      </c>
      <c r="Z15" s="103"/>
      <c r="AA15" s="103"/>
      <c r="AB15" s="64">
        <f>SUM(Z15:AA15)</f>
        <v>0</v>
      </c>
      <c r="AC15" s="103"/>
      <c r="AD15" s="103"/>
      <c r="AE15" s="64">
        <f>SUM(AC15:AD15)</f>
        <v>0</v>
      </c>
    </row>
    <row r="16" spans="1:31" ht="36.75" customHeight="1">
      <c r="A16" s="214" t="s">
        <v>262</v>
      </c>
      <c r="B16" s="214"/>
      <c r="C16" s="104"/>
      <c r="D16" s="68" t="s">
        <v>207</v>
      </c>
      <c r="E16" s="106">
        <v>21000000</v>
      </c>
      <c r="F16" s="106">
        <v>6630000</v>
      </c>
      <c r="G16" s="64">
        <f>SUM(E16:F16)</f>
        <v>27630000</v>
      </c>
      <c r="H16" s="106">
        <v>21000000</v>
      </c>
      <c r="I16" s="106">
        <v>5842000</v>
      </c>
      <c r="J16" s="64">
        <f>SUM(H16:I16)</f>
        <v>26842000</v>
      </c>
      <c r="K16" s="106">
        <v>21000000</v>
      </c>
      <c r="L16" s="106">
        <v>5075000</v>
      </c>
      <c r="M16" s="64">
        <f>SUM(K16:L16)</f>
        <v>26075000</v>
      </c>
      <c r="N16" s="106">
        <v>21000000</v>
      </c>
      <c r="O16" s="106">
        <v>4316000</v>
      </c>
      <c r="P16" s="64">
        <f>SUM(N16:O16)</f>
        <v>25316000</v>
      </c>
      <c r="Q16" s="106">
        <v>21000000</v>
      </c>
      <c r="R16" s="106">
        <v>3594000</v>
      </c>
      <c r="S16" s="64">
        <f>SUM(Q16:R16)</f>
        <v>24594000</v>
      </c>
      <c r="T16" s="106">
        <v>21000000</v>
      </c>
      <c r="U16" s="106">
        <v>2853000</v>
      </c>
      <c r="V16" s="64">
        <f>SUM(T16:U16)</f>
        <v>23853000</v>
      </c>
      <c r="W16" s="106">
        <v>21000000</v>
      </c>
      <c r="X16" s="106">
        <v>2123000</v>
      </c>
      <c r="Y16" s="64">
        <f>SUM(W16:X16)</f>
        <v>23123000</v>
      </c>
      <c r="Z16" s="106">
        <v>21000000</v>
      </c>
      <c r="AA16" s="106">
        <v>1393000</v>
      </c>
      <c r="AB16" s="64">
        <f>SUM(Z16:AA16)</f>
        <v>22393000</v>
      </c>
      <c r="AC16" s="106">
        <v>21000000</v>
      </c>
      <c r="AD16" s="106">
        <v>666000</v>
      </c>
      <c r="AE16" s="64">
        <f>SUM(AC16:AD16)</f>
        <v>21666000</v>
      </c>
    </row>
    <row r="17" spans="1:31" ht="18" customHeight="1">
      <c r="A17" s="192" t="s">
        <v>263</v>
      </c>
      <c r="B17" s="192"/>
      <c r="C17" s="192"/>
      <c r="D17" s="75"/>
      <c r="E17" s="64">
        <f aca="true" t="shared" si="2" ref="E17:AE17">E14+E9+E12</f>
        <v>105000000</v>
      </c>
      <c r="F17" s="64">
        <f t="shared" si="2"/>
        <v>106905000</v>
      </c>
      <c r="G17" s="64">
        <f t="shared" si="2"/>
        <v>211905000</v>
      </c>
      <c r="H17" s="64">
        <f t="shared" si="2"/>
        <v>43000000</v>
      </c>
      <c r="I17" s="64">
        <f t="shared" si="2"/>
        <v>30902000</v>
      </c>
      <c r="J17" s="64">
        <f t="shared" si="2"/>
        <v>73902000</v>
      </c>
      <c r="K17" s="64">
        <f t="shared" si="2"/>
        <v>301000000</v>
      </c>
      <c r="L17" s="64">
        <f t="shared" si="2"/>
        <v>25075000</v>
      </c>
      <c r="M17" s="64">
        <f t="shared" si="2"/>
        <v>326075000</v>
      </c>
      <c r="N17" s="64">
        <f t="shared" si="2"/>
        <v>301000000</v>
      </c>
      <c r="O17" s="64">
        <f t="shared" si="2"/>
        <v>19316000</v>
      </c>
      <c r="P17" s="64">
        <f t="shared" si="2"/>
        <v>320316000</v>
      </c>
      <c r="Q17" s="64">
        <f t="shared" si="2"/>
        <v>301000000</v>
      </c>
      <c r="R17" s="64">
        <f t="shared" si="2"/>
        <v>11594000</v>
      </c>
      <c r="S17" s="64">
        <f t="shared" si="2"/>
        <v>312594000</v>
      </c>
      <c r="T17" s="64">
        <f t="shared" si="2"/>
        <v>181000000</v>
      </c>
      <c r="U17" s="64">
        <f t="shared" si="2"/>
        <v>4853000</v>
      </c>
      <c r="V17" s="64">
        <f t="shared" si="2"/>
        <v>185853000</v>
      </c>
      <c r="W17" s="64">
        <f t="shared" si="2"/>
        <v>21000000</v>
      </c>
      <c r="X17" s="64">
        <f t="shared" si="2"/>
        <v>2123000</v>
      </c>
      <c r="Y17" s="64">
        <f t="shared" si="2"/>
        <v>23123000</v>
      </c>
      <c r="Z17" s="64">
        <f t="shared" si="2"/>
        <v>21000000</v>
      </c>
      <c r="AA17" s="64">
        <f t="shared" si="2"/>
        <v>1393000</v>
      </c>
      <c r="AB17" s="64">
        <f t="shared" si="2"/>
        <v>22393000</v>
      </c>
      <c r="AC17" s="64">
        <f t="shared" si="2"/>
        <v>21000000</v>
      </c>
      <c r="AD17" s="64">
        <f t="shared" si="2"/>
        <v>666000</v>
      </c>
      <c r="AE17" s="64">
        <f t="shared" si="2"/>
        <v>21666000</v>
      </c>
    </row>
  </sheetData>
  <sheetProtection selectLockedCells="1" selectUnlockedCells="1"/>
  <mergeCells count="18">
    <mergeCell ref="A1:M1"/>
    <mergeCell ref="A3:AE3"/>
    <mergeCell ref="E7:G7"/>
    <mergeCell ref="H7:J7"/>
    <mergeCell ref="K7:M7"/>
    <mergeCell ref="N7:P7"/>
    <mergeCell ref="Q7:S7"/>
    <mergeCell ref="T7:V7"/>
    <mergeCell ref="W7:Y7"/>
    <mergeCell ref="Z7:AB7"/>
    <mergeCell ref="A16:B16"/>
    <mergeCell ref="A17:C17"/>
    <mergeCell ref="AC7:AE7"/>
    <mergeCell ref="A9:C9"/>
    <mergeCell ref="A11:B11"/>
    <mergeCell ref="A12:C12"/>
    <mergeCell ref="A14:C14"/>
    <mergeCell ref="A15:B15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62"/>
  <sheetViews>
    <sheetView view="pageBreakPreview" zoomScale="95" zoomScaleNormal="71" zoomScaleSheetLayoutView="95" zoomScalePageLayoutView="0" workbookViewId="0" topLeftCell="A1">
      <selection activeCell="A1" sqref="A1:U1"/>
    </sheetView>
  </sheetViews>
  <sheetFormatPr defaultColWidth="9.140625" defaultRowHeight="12.75"/>
  <cols>
    <col min="1" max="1" width="5.140625" style="107" customWidth="1"/>
    <col min="2" max="2" width="9.8515625" style="107" customWidth="1"/>
    <col min="3" max="3" width="39.8515625" style="107" customWidth="1"/>
    <col min="4" max="4" width="20.57421875" style="107" customWidth="1"/>
    <col min="5" max="5" width="13.28125" style="107" customWidth="1"/>
    <col min="6" max="6" width="16.8515625" style="107" customWidth="1"/>
    <col min="7" max="7" width="20.00390625" style="107" customWidth="1"/>
    <col min="8" max="8" width="13.57421875" style="107" customWidth="1"/>
    <col min="9" max="9" width="18.7109375" style="107" customWidth="1"/>
    <col min="10" max="10" width="16.57421875" style="107" customWidth="1"/>
    <col min="11" max="11" width="17.57421875" style="107" customWidth="1"/>
    <col min="12" max="12" width="17.28125" style="107" customWidth="1"/>
    <col min="13" max="13" width="20.8515625" style="107" customWidth="1"/>
    <col min="14" max="14" width="15.7109375" style="107" customWidth="1"/>
    <col min="15" max="15" width="14.7109375" style="107" customWidth="1"/>
    <col min="16" max="16" width="20.8515625" style="107" customWidth="1"/>
    <col min="17" max="17" width="13.7109375" style="107" customWidth="1"/>
    <col min="18" max="18" width="18.421875" style="107" customWidth="1"/>
    <col min="19" max="19" width="16.7109375" style="107" customWidth="1"/>
    <col min="20" max="20" width="15.421875" style="107" customWidth="1"/>
    <col min="21" max="21" width="13.28125" style="107" customWidth="1"/>
    <col min="22" max="16384" width="9.140625" style="107" customWidth="1"/>
  </cols>
  <sheetData>
    <row r="1" spans="1:21" ht="15.75" customHeight="1">
      <c r="A1" s="223" t="s">
        <v>1134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15.75" customHeight="1">
      <c r="A2" s="218" t="s">
        <v>1035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ht="15.7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8" customHeight="1">
      <c r="A4" s="225" t="s">
        <v>264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21" ht="15" customHeight="1">
      <c r="A5" s="226" t="s">
        <v>265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ht="14.2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39"/>
      <c r="M6" s="110"/>
      <c r="N6" s="110"/>
      <c r="O6" s="110"/>
      <c r="P6" s="110"/>
      <c r="Q6" s="110"/>
      <c r="R6" s="110"/>
      <c r="S6" s="110"/>
      <c r="T6" s="110"/>
      <c r="U6" s="110" t="s">
        <v>1</v>
      </c>
    </row>
    <row r="7" spans="1:21" ht="12.75">
      <c r="A7" s="111" t="s">
        <v>2</v>
      </c>
      <c r="B7" s="111" t="s">
        <v>3</v>
      </c>
      <c r="C7" s="111" t="s">
        <v>4</v>
      </c>
      <c r="D7" s="111" t="s">
        <v>5</v>
      </c>
      <c r="E7" s="111" t="s">
        <v>6</v>
      </c>
      <c r="F7" s="111" t="s">
        <v>7</v>
      </c>
      <c r="G7" s="111" t="s">
        <v>8</v>
      </c>
      <c r="H7" s="111" t="s">
        <v>9</v>
      </c>
      <c r="I7" s="111" t="s">
        <v>10</v>
      </c>
      <c r="J7" s="111" t="s">
        <v>11</v>
      </c>
      <c r="K7" s="111" t="s">
        <v>12</v>
      </c>
      <c r="L7" s="111" t="s">
        <v>13</v>
      </c>
      <c r="M7" s="111" t="s">
        <v>173</v>
      </c>
      <c r="N7" s="111" t="s">
        <v>174</v>
      </c>
      <c r="O7" s="111" t="s">
        <v>175</v>
      </c>
      <c r="P7" s="111" t="s">
        <v>176</v>
      </c>
      <c r="Q7" s="111" t="s">
        <v>177</v>
      </c>
      <c r="R7" s="111" t="s">
        <v>178</v>
      </c>
      <c r="S7" s="111" t="s">
        <v>179</v>
      </c>
      <c r="T7" s="111" t="s">
        <v>180</v>
      </c>
      <c r="U7" s="111" t="s">
        <v>181</v>
      </c>
    </row>
    <row r="8" spans="1:21" ht="12.75" customHeight="1">
      <c r="A8" s="227" t="s">
        <v>15</v>
      </c>
      <c r="B8" s="227" t="s">
        <v>186</v>
      </c>
      <c r="C8" s="228" t="s">
        <v>16</v>
      </c>
      <c r="D8" s="221" t="s">
        <v>17</v>
      </c>
      <c r="E8" s="219" t="s">
        <v>18</v>
      </c>
      <c r="F8" s="219"/>
      <c r="G8" s="219"/>
      <c r="H8" s="219"/>
      <c r="I8" s="219"/>
      <c r="J8" s="219"/>
      <c r="K8" s="219"/>
      <c r="L8" s="219"/>
      <c r="M8" s="221" t="s">
        <v>266</v>
      </c>
      <c r="N8" s="219" t="s">
        <v>20</v>
      </c>
      <c r="O8" s="219"/>
      <c r="P8" s="219"/>
      <c r="Q8" s="219"/>
      <c r="R8" s="219"/>
      <c r="S8" s="219"/>
      <c r="T8" s="219"/>
      <c r="U8" s="219"/>
    </row>
    <row r="9" spans="1:21" ht="12.75" customHeight="1">
      <c r="A9" s="227"/>
      <c r="B9" s="227"/>
      <c r="C9" s="228"/>
      <c r="D9" s="228"/>
      <c r="E9" s="220" t="s">
        <v>21</v>
      </c>
      <c r="F9" s="220"/>
      <c r="G9" s="220"/>
      <c r="H9" s="220"/>
      <c r="I9" s="220"/>
      <c r="J9" s="220" t="s">
        <v>22</v>
      </c>
      <c r="K9" s="220"/>
      <c r="L9" s="220"/>
      <c r="M9" s="221"/>
      <c r="N9" s="220" t="s">
        <v>21</v>
      </c>
      <c r="O9" s="220"/>
      <c r="P9" s="220"/>
      <c r="Q9" s="220"/>
      <c r="R9" s="220"/>
      <c r="S9" s="220" t="s">
        <v>22</v>
      </c>
      <c r="T9" s="220"/>
      <c r="U9" s="220"/>
    </row>
    <row r="10" spans="1:21" ht="76.5">
      <c r="A10" s="227"/>
      <c r="B10" s="227"/>
      <c r="C10" s="228"/>
      <c r="D10" s="228"/>
      <c r="E10" s="112" t="s">
        <v>23</v>
      </c>
      <c r="F10" s="112" t="s">
        <v>24</v>
      </c>
      <c r="G10" s="112" t="s">
        <v>25</v>
      </c>
      <c r="H10" s="112" t="s">
        <v>26</v>
      </c>
      <c r="I10" s="112" t="s">
        <v>27</v>
      </c>
      <c r="J10" s="112" t="s">
        <v>28</v>
      </c>
      <c r="K10" s="112" t="s">
        <v>29</v>
      </c>
      <c r="L10" s="112" t="s">
        <v>30</v>
      </c>
      <c r="M10" s="221"/>
      <c r="N10" s="112" t="s">
        <v>23</v>
      </c>
      <c r="O10" s="112" t="s">
        <v>24</v>
      </c>
      <c r="P10" s="112" t="s">
        <v>25</v>
      </c>
      <c r="Q10" s="112" t="s">
        <v>26</v>
      </c>
      <c r="R10" s="112" t="s">
        <v>27</v>
      </c>
      <c r="S10" s="112" t="s">
        <v>28</v>
      </c>
      <c r="T10" s="112" t="s">
        <v>29</v>
      </c>
      <c r="U10" s="112" t="s">
        <v>30</v>
      </c>
    </row>
    <row r="11" spans="1:21" ht="18">
      <c r="A11" s="114" t="s">
        <v>45</v>
      </c>
      <c r="B11" s="114"/>
      <c r="C11" s="115" t="s">
        <v>34</v>
      </c>
      <c r="D11" s="116">
        <f aca="true" t="shared" si="0" ref="D11:D42">SUM(E11:L11)</f>
        <v>1772600000</v>
      </c>
      <c r="E11" s="117">
        <f aca="true" t="shared" si="1" ref="E11:L11">SUM(E12:E41)</f>
        <v>0</v>
      </c>
      <c r="F11" s="117">
        <f t="shared" si="1"/>
        <v>0</v>
      </c>
      <c r="G11" s="117">
        <f t="shared" si="1"/>
        <v>1532100000</v>
      </c>
      <c r="H11" s="117">
        <f t="shared" si="1"/>
        <v>0</v>
      </c>
      <c r="I11" s="117">
        <f t="shared" si="1"/>
        <v>215500000</v>
      </c>
      <c r="J11" s="117">
        <f t="shared" si="1"/>
        <v>0</v>
      </c>
      <c r="K11" s="117">
        <f t="shared" si="1"/>
        <v>25000000</v>
      </c>
      <c r="L11" s="117">
        <f t="shared" si="1"/>
        <v>0</v>
      </c>
      <c r="M11" s="116">
        <f aca="true" t="shared" si="2" ref="M11:M42">SUM(N11:U11)</f>
        <v>2223543054</v>
      </c>
      <c r="N11" s="117">
        <f aca="true" t="shared" si="3" ref="N11:U11">SUM(N12:N41)</f>
        <v>0</v>
      </c>
      <c r="O11" s="117">
        <f t="shared" si="3"/>
        <v>0</v>
      </c>
      <c r="P11" s="117">
        <f t="shared" si="3"/>
        <v>1965327582</v>
      </c>
      <c r="Q11" s="117">
        <f t="shared" si="3"/>
        <v>0</v>
      </c>
      <c r="R11" s="117">
        <f t="shared" si="3"/>
        <v>246262010</v>
      </c>
      <c r="S11" s="117">
        <f t="shared" si="3"/>
        <v>6953462</v>
      </c>
      <c r="T11" s="117">
        <f t="shared" si="3"/>
        <v>5000000</v>
      </c>
      <c r="U11" s="117">
        <f t="shared" si="3"/>
        <v>0</v>
      </c>
    </row>
    <row r="12" spans="1:21" ht="18">
      <c r="A12" s="114"/>
      <c r="B12" s="114" t="s">
        <v>267</v>
      </c>
      <c r="C12" s="118" t="s">
        <v>268</v>
      </c>
      <c r="D12" s="119">
        <f t="shared" si="0"/>
        <v>15000000</v>
      </c>
      <c r="E12" s="120">
        <v>0</v>
      </c>
      <c r="F12" s="120">
        <v>0</v>
      </c>
      <c r="G12" s="120">
        <v>15000000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19">
        <f t="shared" si="2"/>
        <v>15300000</v>
      </c>
      <c r="N12" s="120">
        <v>0</v>
      </c>
      <c r="O12" s="120">
        <v>0</v>
      </c>
      <c r="P12" s="120">
        <f>15000000+300000</f>
        <v>15300000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</row>
    <row r="13" spans="1:21" ht="18">
      <c r="A13" s="114"/>
      <c r="B13" s="114" t="s">
        <v>269</v>
      </c>
      <c r="C13" s="118" t="s">
        <v>270</v>
      </c>
      <c r="D13" s="119">
        <f t="shared" si="0"/>
        <v>15000000</v>
      </c>
      <c r="E13" s="120">
        <v>0</v>
      </c>
      <c r="F13" s="120">
        <v>0</v>
      </c>
      <c r="G13" s="120">
        <v>15000000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19">
        <f t="shared" si="2"/>
        <v>15345808</v>
      </c>
      <c r="N13" s="120">
        <v>0</v>
      </c>
      <c r="O13" s="120">
        <v>0</v>
      </c>
      <c r="P13" s="120">
        <v>15345808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</row>
    <row r="14" spans="1:21" ht="60">
      <c r="A14" s="114"/>
      <c r="B14" s="114" t="s">
        <v>271</v>
      </c>
      <c r="C14" s="118" t="s">
        <v>272</v>
      </c>
      <c r="D14" s="119">
        <f t="shared" si="0"/>
        <v>25000000</v>
      </c>
      <c r="E14" s="120">
        <v>0</v>
      </c>
      <c r="F14" s="120">
        <v>0</v>
      </c>
      <c r="G14" s="120">
        <v>25000000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19">
        <f t="shared" si="2"/>
        <v>43842540</v>
      </c>
      <c r="N14" s="120">
        <v>0</v>
      </c>
      <c r="O14" s="120">
        <v>0</v>
      </c>
      <c r="P14" s="120">
        <f>38292540+550000+5000000</f>
        <v>43842540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</row>
    <row r="15" spans="1:21" ht="18">
      <c r="A15" s="114"/>
      <c r="B15" s="114" t="s">
        <v>273</v>
      </c>
      <c r="C15" s="118" t="s">
        <v>274</v>
      </c>
      <c r="D15" s="119">
        <f t="shared" si="0"/>
        <v>10000000</v>
      </c>
      <c r="E15" s="120">
        <v>0</v>
      </c>
      <c r="F15" s="120">
        <v>0</v>
      </c>
      <c r="G15" s="120">
        <v>10000000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19">
        <f t="shared" si="2"/>
        <v>10000000</v>
      </c>
      <c r="N15" s="120">
        <v>0</v>
      </c>
      <c r="O15" s="120">
        <v>0</v>
      </c>
      <c r="P15" s="120">
        <v>10000000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</row>
    <row r="16" spans="1:21" ht="18">
      <c r="A16" s="114"/>
      <c r="B16" s="114" t="s">
        <v>275</v>
      </c>
      <c r="C16" s="118" t="s">
        <v>276</v>
      </c>
      <c r="D16" s="119">
        <f t="shared" si="0"/>
        <v>5000000</v>
      </c>
      <c r="E16" s="120">
        <v>0</v>
      </c>
      <c r="F16" s="120">
        <v>0</v>
      </c>
      <c r="G16" s="120">
        <v>5000000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19">
        <f t="shared" si="2"/>
        <v>1710388</v>
      </c>
      <c r="N16" s="120">
        <v>0</v>
      </c>
      <c r="O16" s="120">
        <v>0</v>
      </c>
      <c r="P16" s="120">
        <f>6710388-5000000</f>
        <v>1710388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</row>
    <row r="17" spans="1:21" ht="18">
      <c r="A17" s="114"/>
      <c r="B17" s="114" t="s">
        <v>277</v>
      </c>
      <c r="C17" s="118" t="s">
        <v>278</v>
      </c>
      <c r="D17" s="119">
        <f t="shared" si="0"/>
        <v>3000000</v>
      </c>
      <c r="E17" s="120">
        <v>0</v>
      </c>
      <c r="F17" s="120">
        <v>0</v>
      </c>
      <c r="G17" s="120">
        <v>3000000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19">
        <f t="shared" si="2"/>
        <v>3419608</v>
      </c>
      <c r="N17" s="120">
        <v>0</v>
      </c>
      <c r="O17" s="120">
        <v>0</v>
      </c>
      <c r="P17" s="120">
        <v>3419608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</row>
    <row r="18" spans="1:21" ht="18">
      <c r="A18" s="114"/>
      <c r="B18" s="114" t="s">
        <v>279</v>
      </c>
      <c r="C18" s="118" t="s">
        <v>280</v>
      </c>
      <c r="D18" s="119">
        <f t="shared" si="0"/>
        <v>3000000</v>
      </c>
      <c r="E18" s="120">
        <v>0</v>
      </c>
      <c r="F18" s="120">
        <v>0</v>
      </c>
      <c r="G18" s="120">
        <v>3000000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19">
        <f t="shared" si="2"/>
        <v>3000000</v>
      </c>
      <c r="N18" s="120">
        <v>0</v>
      </c>
      <c r="O18" s="120">
        <v>0</v>
      </c>
      <c r="P18" s="120">
        <v>3000000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</row>
    <row r="19" spans="1:21" ht="18">
      <c r="A19" s="114"/>
      <c r="B19" s="114" t="s">
        <v>281</v>
      </c>
      <c r="C19" s="118" t="s">
        <v>282</v>
      </c>
      <c r="D19" s="119">
        <f t="shared" si="0"/>
        <v>530000000</v>
      </c>
      <c r="E19" s="120">
        <v>0</v>
      </c>
      <c r="F19" s="120">
        <v>0</v>
      </c>
      <c r="G19" s="120">
        <v>530000000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19">
        <f t="shared" si="2"/>
        <v>600773376</v>
      </c>
      <c r="N19" s="120">
        <v>0</v>
      </c>
      <c r="O19" s="120">
        <v>0</v>
      </c>
      <c r="P19" s="120">
        <v>600773376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</row>
    <row r="20" spans="1:21" ht="18">
      <c r="A20" s="114"/>
      <c r="B20" s="114" t="s">
        <v>283</v>
      </c>
      <c r="C20" s="121" t="s">
        <v>284</v>
      </c>
      <c r="D20" s="119">
        <f t="shared" si="0"/>
        <v>360000000</v>
      </c>
      <c r="E20" s="120">
        <v>0</v>
      </c>
      <c r="F20" s="120">
        <v>0</v>
      </c>
      <c r="G20" s="120">
        <v>360000000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19">
        <f t="shared" si="2"/>
        <v>393813193</v>
      </c>
      <c r="N20" s="120">
        <v>0</v>
      </c>
      <c r="O20" s="120">
        <v>0</v>
      </c>
      <c r="P20" s="120">
        <f>371342365+20000000</f>
        <v>391342365</v>
      </c>
      <c r="Q20" s="120">
        <v>0</v>
      </c>
      <c r="R20" s="120">
        <v>0</v>
      </c>
      <c r="S20" s="120">
        <f>22470828-20000000</f>
        <v>2470828</v>
      </c>
      <c r="T20" s="120">
        <v>0</v>
      </c>
      <c r="U20" s="120">
        <v>0</v>
      </c>
    </row>
    <row r="21" spans="1:21" ht="18">
      <c r="A21" s="114"/>
      <c r="B21" s="114" t="s">
        <v>285</v>
      </c>
      <c r="C21" s="121" t="s">
        <v>286</v>
      </c>
      <c r="D21" s="119">
        <f t="shared" si="0"/>
        <v>10000000</v>
      </c>
      <c r="E21" s="120">
        <v>0</v>
      </c>
      <c r="F21" s="120">
        <v>0</v>
      </c>
      <c r="G21" s="120">
        <v>10000000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19">
        <f t="shared" si="2"/>
        <v>10000000</v>
      </c>
      <c r="N21" s="120">
        <v>0</v>
      </c>
      <c r="O21" s="120">
        <v>0</v>
      </c>
      <c r="P21" s="120">
        <v>10000000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</row>
    <row r="22" spans="1:21" ht="30">
      <c r="A22" s="114"/>
      <c r="B22" s="114" t="s">
        <v>287</v>
      </c>
      <c r="C22" s="118" t="s">
        <v>288</v>
      </c>
      <c r="D22" s="119">
        <f t="shared" si="0"/>
        <v>20000000</v>
      </c>
      <c r="E22" s="120">
        <v>0</v>
      </c>
      <c r="F22" s="120">
        <v>0</v>
      </c>
      <c r="G22" s="120">
        <v>12500000</v>
      </c>
      <c r="H22" s="120">
        <v>0</v>
      </c>
      <c r="I22" s="120">
        <v>7500000</v>
      </c>
      <c r="J22" s="120">
        <v>0</v>
      </c>
      <c r="K22" s="120">
        <v>0</v>
      </c>
      <c r="L22" s="120">
        <v>0</v>
      </c>
      <c r="M22" s="119">
        <f t="shared" si="2"/>
        <v>23512100</v>
      </c>
      <c r="N22" s="120">
        <v>0</v>
      </c>
      <c r="O22" s="120">
        <v>0</v>
      </c>
      <c r="P22" s="120">
        <f>12042546-1400000+320040</f>
        <v>10962586</v>
      </c>
      <c r="Q22" s="120">
        <v>0</v>
      </c>
      <c r="R22" s="120">
        <f>7500000+1400000</f>
        <v>8900000</v>
      </c>
      <c r="S22" s="120">
        <f>583184+1950000+1116330</f>
        <v>3649514</v>
      </c>
      <c r="T22" s="120">
        <v>0</v>
      </c>
      <c r="U22" s="120">
        <v>0</v>
      </c>
    </row>
    <row r="23" spans="1:21" ht="30">
      <c r="A23" s="114"/>
      <c r="B23" s="114" t="s">
        <v>289</v>
      </c>
      <c r="C23" s="121" t="s">
        <v>290</v>
      </c>
      <c r="D23" s="119">
        <f t="shared" si="0"/>
        <v>110000000</v>
      </c>
      <c r="E23" s="120">
        <v>0</v>
      </c>
      <c r="F23" s="120">
        <v>0</v>
      </c>
      <c r="G23" s="120">
        <v>110000000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19">
        <f t="shared" si="2"/>
        <v>144653274</v>
      </c>
      <c r="N23" s="120">
        <v>0</v>
      </c>
      <c r="O23" s="120">
        <v>0</v>
      </c>
      <c r="P23" s="120">
        <v>144653274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</row>
    <row r="24" spans="1:21" ht="18">
      <c r="A24" s="114"/>
      <c r="B24" s="114" t="s">
        <v>291</v>
      </c>
      <c r="C24" s="121" t="s">
        <v>292</v>
      </c>
      <c r="D24" s="119">
        <f t="shared" si="0"/>
        <v>60000000</v>
      </c>
      <c r="E24" s="120">
        <v>0</v>
      </c>
      <c r="F24" s="120">
        <v>0</v>
      </c>
      <c r="G24" s="120">
        <v>60000000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19">
        <f t="shared" si="2"/>
        <v>122526260</v>
      </c>
      <c r="N24" s="120">
        <v>0</v>
      </c>
      <c r="O24" s="120">
        <v>0</v>
      </c>
      <c r="P24" s="120">
        <v>122526260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</row>
    <row r="25" spans="1:21" ht="30">
      <c r="A25" s="114"/>
      <c r="B25" s="114" t="s">
        <v>293</v>
      </c>
      <c r="C25" s="121" t="s">
        <v>294</v>
      </c>
      <c r="D25" s="119">
        <f t="shared" si="0"/>
        <v>20000000</v>
      </c>
      <c r="E25" s="120">
        <v>0</v>
      </c>
      <c r="F25" s="120">
        <v>0</v>
      </c>
      <c r="G25" s="120">
        <v>20000000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19">
        <f t="shared" si="2"/>
        <v>28108829</v>
      </c>
      <c r="N25" s="120">
        <v>0</v>
      </c>
      <c r="O25" s="120">
        <v>0</v>
      </c>
      <c r="P25" s="120">
        <v>28108829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</row>
    <row r="26" spans="1:21" ht="18">
      <c r="A26" s="114"/>
      <c r="B26" s="114" t="s">
        <v>295</v>
      </c>
      <c r="C26" s="122" t="s">
        <v>296</v>
      </c>
      <c r="D26" s="119">
        <f t="shared" si="0"/>
        <v>100000000</v>
      </c>
      <c r="E26" s="120">
        <v>0</v>
      </c>
      <c r="F26" s="120">
        <v>0</v>
      </c>
      <c r="G26" s="120">
        <v>100000000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19">
        <f t="shared" si="2"/>
        <v>183474520</v>
      </c>
      <c r="N26" s="120">
        <v>0</v>
      </c>
      <c r="O26" s="120">
        <v>0</v>
      </c>
      <c r="P26" s="120">
        <f>118424520+50000000+15050000</f>
        <v>183474520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</row>
    <row r="27" spans="1:21" ht="18">
      <c r="A27" s="114"/>
      <c r="B27" s="114" t="s">
        <v>297</v>
      </c>
      <c r="C27" s="121" t="s">
        <v>298</v>
      </c>
      <c r="D27" s="119">
        <f t="shared" si="0"/>
        <v>40000000</v>
      </c>
      <c r="E27" s="120">
        <v>0</v>
      </c>
      <c r="F27" s="120">
        <v>0</v>
      </c>
      <c r="G27" s="120">
        <v>40000000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19">
        <f t="shared" si="2"/>
        <v>44317499</v>
      </c>
      <c r="N27" s="120">
        <v>0</v>
      </c>
      <c r="O27" s="120">
        <v>0</v>
      </c>
      <c r="P27" s="120">
        <v>44317499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</row>
    <row r="28" spans="1:21" ht="18">
      <c r="A28" s="114"/>
      <c r="B28" s="114" t="s">
        <v>299</v>
      </c>
      <c r="C28" s="121" t="s">
        <v>300</v>
      </c>
      <c r="D28" s="119">
        <f t="shared" si="0"/>
        <v>50000000</v>
      </c>
      <c r="E28" s="120">
        <v>0</v>
      </c>
      <c r="F28" s="120">
        <v>0</v>
      </c>
      <c r="G28" s="120">
        <v>50000000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19">
        <f t="shared" si="2"/>
        <v>51497125</v>
      </c>
      <c r="N28" s="120">
        <v>0</v>
      </c>
      <c r="O28" s="120">
        <v>0</v>
      </c>
      <c r="P28" s="120">
        <v>51497125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</row>
    <row r="29" spans="1:21" ht="18">
      <c r="A29" s="114"/>
      <c r="B29" s="114" t="s">
        <v>301</v>
      </c>
      <c r="C29" s="121" t="s">
        <v>302</v>
      </c>
      <c r="D29" s="119">
        <f t="shared" si="0"/>
        <v>30000000</v>
      </c>
      <c r="E29" s="120">
        <v>0</v>
      </c>
      <c r="F29" s="120">
        <v>0</v>
      </c>
      <c r="G29" s="120">
        <v>30000000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19">
        <f t="shared" si="2"/>
        <v>94143000</v>
      </c>
      <c r="N29" s="120">
        <v>0</v>
      </c>
      <c r="O29" s="120">
        <v>0</v>
      </c>
      <c r="P29" s="120">
        <f>93000000+1143000</f>
        <v>94143000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</row>
    <row r="30" spans="1:21" ht="30">
      <c r="A30" s="114"/>
      <c r="B30" s="114" t="s">
        <v>303</v>
      </c>
      <c r="C30" s="121" t="s">
        <v>304</v>
      </c>
      <c r="D30" s="119">
        <f t="shared" si="0"/>
        <v>31000000</v>
      </c>
      <c r="E30" s="120">
        <v>0</v>
      </c>
      <c r="F30" s="120">
        <v>0</v>
      </c>
      <c r="G30" s="120">
        <v>31000000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19">
        <f t="shared" si="2"/>
        <v>40629628</v>
      </c>
      <c r="N30" s="120">
        <v>0</v>
      </c>
      <c r="O30" s="120">
        <v>0</v>
      </c>
      <c r="P30" s="120">
        <v>40629628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</row>
    <row r="31" spans="1:21" ht="30">
      <c r="A31" s="114"/>
      <c r="B31" s="114" t="s">
        <v>305</v>
      </c>
      <c r="C31" s="121" t="s">
        <v>306</v>
      </c>
      <c r="D31" s="119">
        <f t="shared" si="0"/>
        <v>2000000</v>
      </c>
      <c r="E31" s="120">
        <v>0</v>
      </c>
      <c r="F31" s="120">
        <v>0</v>
      </c>
      <c r="G31" s="120">
        <v>2000000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19">
        <f t="shared" si="2"/>
        <v>16951913</v>
      </c>
      <c r="N31" s="120">
        <v>0</v>
      </c>
      <c r="O31" s="120">
        <v>0</v>
      </c>
      <c r="P31" s="120">
        <f>16951913-444500</f>
        <v>16507413</v>
      </c>
      <c r="Q31" s="120">
        <v>0</v>
      </c>
      <c r="R31" s="120">
        <v>0</v>
      </c>
      <c r="S31" s="120">
        <f>444500</f>
        <v>444500</v>
      </c>
      <c r="T31" s="120">
        <v>0</v>
      </c>
      <c r="U31" s="120">
        <v>0</v>
      </c>
    </row>
    <row r="32" spans="1:21" ht="18">
      <c r="A32" s="114"/>
      <c r="B32" s="114" t="s">
        <v>307</v>
      </c>
      <c r="C32" s="123" t="s">
        <v>308</v>
      </c>
      <c r="D32" s="119">
        <f t="shared" si="0"/>
        <v>2000000</v>
      </c>
      <c r="E32" s="120">
        <v>0</v>
      </c>
      <c r="F32" s="120">
        <v>0</v>
      </c>
      <c r="G32" s="120">
        <v>2000000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19">
        <f t="shared" si="2"/>
        <v>2000000</v>
      </c>
      <c r="N32" s="120">
        <v>0</v>
      </c>
      <c r="O32" s="120">
        <v>0</v>
      </c>
      <c r="P32" s="120">
        <v>2000000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</row>
    <row r="33" spans="1:21" ht="18">
      <c r="A33" s="114"/>
      <c r="B33" s="114" t="s">
        <v>309</v>
      </c>
      <c r="C33" s="123" t="s">
        <v>310</v>
      </c>
      <c r="D33" s="119">
        <f t="shared" si="0"/>
        <v>3500000</v>
      </c>
      <c r="E33" s="120">
        <v>0</v>
      </c>
      <c r="F33" s="120">
        <v>0</v>
      </c>
      <c r="G33" s="120">
        <v>3500000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19">
        <f t="shared" si="2"/>
        <v>3500000</v>
      </c>
      <c r="N33" s="120">
        <v>0</v>
      </c>
      <c r="O33" s="120">
        <v>0</v>
      </c>
      <c r="P33" s="120">
        <v>3500000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</row>
    <row r="34" spans="1:21" ht="30">
      <c r="A34" s="114"/>
      <c r="B34" s="114" t="s">
        <v>311</v>
      </c>
      <c r="C34" s="123" t="s">
        <v>312</v>
      </c>
      <c r="D34" s="119">
        <f t="shared" si="0"/>
        <v>37000000</v>
      </c>
      <c r="E34" s="120">
        <v>0</v>
      </c>
      <c r="F34" s="120">
        <v>0</v>
      </c>
      <c r="G34" s="120">
        <v>37000000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19">
        <f t="shared" si="2"/>
        <v>41103351</v>
      </c>
      <c r="N34" s="120">
        <v>0</v>
      </c>
      <c r="O34" s="120">
        <v>0</v>
      </c>
      <c r="P34" s="120">
        <v>41103351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</row>
    <row r="35" spans="1:21" ht="30">
      <c r="A35" s="114"/>
      <c r="B35" s="114" t="s">
        <v>313</v>
      </c>
      <c r="C35" s="121" t="s">
        <v>314</v>
      </c>
      <c r="D35" s="119">
        <f t="shared" si="0"/>
        <v>30000000</v>
      </c>
      <c r="E35" s="120">
        <v>0</v>
      </c>
      <c r="F35" s="120">
        <v>0</v>
      </c>
      <c r="G35" s="120">
        <v>30000000</v>
      </c>
      <c r="H35" s="120">
        <v>0</v>
      </c>
      <c r="I35" s="120">
        <v>0</v>
      </c>
      <c r="J35" s="120">
        <v>0</v>
      </c>
      <c r="K35" s="120">
        <v>0</v>
      </c>
      <c r="L35" s="120" t="s">
        <v>315</v>
      </c>
      <c r="M35" s="119">
        <f t="shared" si="2"/>
        <v>35019985</v>
      </c>
      <c r="N35" s="120">
        <v>0</v>
      </c>
      <c r="O35" s="120">
        <v>0</v>
      </c>
      <c r="P35" s="120">
        <v>35019985</v>
      </c>
      <c r="Q35" s="120">
        <v>0</v>
      </c>
      <c r="R35" s="120">
        <v>0</v>
      </c>
      <c r="S35" s="120">
        <v>0</v>
      </c>
      <c r="T35" s="120">
        <v>0</v>
      </c>
      <c r="U35" s="120" t="s">
        <v>315</v>
      </c>
    </row>
    <row r="36" spans="1:21" ht="18">
      <c r="A36" s="114"/>
      <c r="B36" s="114" t="s">
        <v>316</v>
      </c>
      <c r="C36" s="121" t="s">
        <v>317</v>
      </c>
      <c r="D36" s="119">
        <f t="shared" si="0"/>
        <v>1000000</v>
      </c>
      <c r="E36" s="120">
        <v>0</v>
      </c>
      <c r="F36" s="120">
        <v>0</v>
      </c>
      <c r="G36" s="120">
        <v>1000000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19">
        <f t="shared" si="2"/>
        <v>1000000</v>
      </c>
      <c r="N36" s="120">
        <v>0</v>
      </c>
      <c r="O36" s="120">
        <v>0</v>
      </c>
      <c r="P36" s="120">
        <f>1000000-388620</f>
        <v>611380</v>
      </c>
      <c r="Q36" s="120">
        <v>0</v>
      </c>
      <c r="R36" s="120">
        <v>0</v>
      </c>
      <c r="S36" s="120">
        <v>388620</v>
      </c>
      <c r="T36" s="120">
        <v>0</v>
      </c>
      <c r="U36" s="120">
        <v>0</v>
      </c>
    </row>
    <row r="37" spans="1:21" ht="30">
      <c r="A37" s="114"/>
      <c r="B37" s="114" t="s">
        <v>318</v>
      </c>
      <c r="C37" s="124" t="s">
        <v>319</v>
      </c>
      <c r="D37" s="119">
        <f t="shared" si="0"/>
        <v>100000</v>
      </c>
      <c r="E37" s="120">
        <v>0</v>
      </c>
      <c r="F37" s="120">
        <v>0</v>
      </c>
      <c r="G37" s="120">
        <v>100000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19">
        <f t="shared" si="2"/>
        <v>100000</v>
      </c>
      <c r="N37" s="120">
        <v>0</v>
      </c>
      <c r="O37" s="120">
        <v>0</v>
      </c>
      <c r="P37" s="120">
        <v>100000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</row>
    <row r="38" spans="1:21" ht="18">
      <c r="A38" s="114"/>
      <c r="B38" s="114" t="s">
        <v>320</v>
      </c>
      <c r="C38" s="123" t="s">
        <v>321</v>
      </c>
      <c r="D38" s="119">
        <f t="shared" si="0"/>
        <v>2000000</v>
      </c>
      <c r="E38" s="120">
        <v>0</v>
      </c>
      <c r="F38" s="120">
        <v>0</v>
      </c>
      <c r="G38" s="120">
        <v>2000000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19">
        <f t="shared" si="2"/>
        <v>2377584</v>
      </c>
      <c r="N38" s="120">
        <v>0</v>
      </c>
      <c r="O38" s="120">
        <v>0</v>
      </c>
      <c r="P38" s="120">
        <v>2377584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</row>
    <row r="39" spans="1:21" ht="45">
      <c r="A39" s="114"/>
      <c r="B39" s="114" t="s">
        <v>322</v>
      </c>
      <c r="C39" s="123" t="s">
        <v>323</v>
      </c>
      <c r="D39" s="119">
        <f t="shared" si="0"/>
        <v>50000000</v>
      </c>
      <c r="E39" s="120">
        <v>0</v>
      </c>
      <c r="F39" s="120">
        <v>0</v>
      </c>
      <c r="G39" s="120">
        <v>25000000</v>
      </c>
      <c r="H39" s="120">
        <v>0</v>
      </c>
      <c r="I39" s="120">
        <v>0</v>
      </c>
      <c r="J39" s="120">
        <v>0</v>
      </c>
      <c r="K39" s="120">
        <v>25000000</v>
      </c>
      <c r="L39" s="120">
        <v>0</v>
      </c>
      <c r="M39" s="119">
        <f t="shared" si="2"/>
        <v>54061063</v>
      </c>
      <c r="N39" s="120">
        <v>0</v>
      </c>
      <c r="O39" s="120">
        <v>0</v>
      </c>
      <c r="P39" s="120">
        <v>49061063</v>
      </c>
      <c r="Q39" s="120">
        <v>0</v>
      </c>
      <c r="R39" s="120">
        <v>0</v>
      </c>
      <c r="S39" s="120">
        <v>0</v>
      </c>
      <c r="T39" s="120">
        <f>25000000-20000000</f>
        <v>5000000</v>
      </c>
      <c r="U39" s="120">
        <v>0</v>
      </c>
    </row>
    <row r="40" spans="1:21" ht="30">
      <c r="A40" s="114"/>
      <c r="B40" s="114" t="s">
        <v>324</v>
      </c>
      <c r="C40" s="121" t="s">
        <v>325</v>
      </c>
      <c r="D40" s="119">
        <f t="shared" si="0"/>
        <v>8000000</v>
      </c>
      <c r="E40" s="120">
        <v>0</v>
      </c>
      <c r="F40" s="120">
        <v>0</v>
      </c>
      <c r="G40" s="120">
        <v>0</v>
      </c>
      <c r="H40" s="120">
        <v>0</v>
      </c>
      <c r="I40" s="120">
        <v>8000000</v>
      </c>
      <c r="J40" s="120">
        <v>0</v>
      </c>
      <c r="K40" s="120">
        <v>0</v>
      </c>
      <c r="L40" s="120">
        <v>0</v>
      </c>
      <c r="M40" s="119">
        <f t="shared" si="2"/>
        <v>1100460</v>
      </c>
      <c r="N40" s="120">
        <v>0</v>
      </c>
      <c r="O40" s="120">
        <v>0</v>
      </c>
      <c r="P40" s="120">
        <f>1079500-1079500</f>
        <v>0</v>
      </c>
      <c r="Q40" s="120">
        <v>0</v>
      </c>
      <c r="R40" s="120">
        <f>1420500-320040</f>
        <v>1100460</v>
      </c>
      <c r="S40" s="120">
        <v>0</v>
      </c>
      <c r="T40" s="120">
        <v>0</v>
      </c>
      <c r="U40" s="120">
        <v>0</v>
      </c>
    </row>
    <row r="41" spans="1:21" ht="18">
      <c r="A41" s="114"/>
      <c r="B41" s="114" t="s">
        <v>326</v>
      </c>
      <c r="C41" s="121" t="s">
        <v>327</v>
      </c>
      <c r="D41" s="119">
        <f t="shared" si="0"/>
        <v>200000000</v>
      </c>
      <c r="E41" s="120">
        <v>0</v>
      </c>
      <c r="F41" s="120">
        <v>0</v>
      </c>
      <c r="G41" s="120">
        <v>0</v>
      </c>
      <c r="H41" s="120">
        <v>0</v>
      </c>
      <c r="I41" s="120">
        <v>200000000</v>
      </c>
      <c r="J41" s="120">
        <v>0</v>
      </c>
      <c r="K41" s="120">
        <v>0</v>
      </c>
      <c r="L41" s="120">
        <v>0</v>
      </c>
      <c r="M41" s="119">
        <f t="shared" si="2"/>
        <v>236261550</v>
      </c>
      <c r="N41" s="120">
        <v>0</v>
      </c>
      <c r="O41" s="120">
        <v>0</v>
      </c>
      <c r="P41" s="120">
        <v>0</v>
      </c>
      <c r="Q41" s="120">
        <v>0</v>
      </c>
      <c r="R41" s="120">
        <v>236261550</v>
      </c>
      <c r="S41" s="120">
        <v>0</v>
      </c>
      <c r="T41" s="120">
        <v>0</v>
      </c>
      <c r="U41" s="120">
        <v>0</v>
      </c>
    </row>
    <row r="42" spans="1:21" ht="18">
      <c r="A42" s="114" t="s">
        <v>46</v>
      </c>
      <c r="B42" s="114"/>
      <c r="C42" s="115" t="s">
        <v>36</v>
      </c>
      <c r="D42" s="116">
        <f t="shared" si="0"/>
        <v>266250000</v>
      </c>
      <c r="E42" s="117">
        <f aca="true" t="shared" si="4" ref="E42:L42">SUM(E43:E59)</f>
        <v>0</v>
      </c>
      <c r="F42" s="117">
        <f t="shared" si="4"/>
        <v>0</v>
      </c>
      <c r="G42" s="117">
        <f t="shared" si="4"/>
        <v>239750000</v>
      </c>
      <c r="H42" s="117">
        <f t="shared" si="4"/>
        <v>0</v>
      </c>
      <c r="I42" s="117">
        <f t="shared" si="4"/>
        <v>0</v>
      </c>
      <c r="J42" s="117">
        <f t="shared" si="4"/>
        <v>26500000</v>
      </c>
      <c r="K42" s="117">
        <f t="shared" si="4"/>
        <v>0</v>
      </c>
      <c r="L42" s="117">
        <f t="shared" si="4"/>
        <v>0</v>
      </c>
      <c r="M42" s="116">
        <f t="shared" si="2"/>
        <v>295963892</v>
      </c>
      <c r="N42" s="117">
        <f aca="true" t="shared" si="5" ref="N42:U42">SUM(N43:N59)</f>
        <v>0</v>
      </c>
      <c r="O42" s="117">
        <f t="shared" si="5"/>
        <v>0</v>
      </c>
      <c r="P42" s="117">
        <f t="shared" si="5"/>
        <v>268050382</v>
      </c>
      <c r="Q42" s="117">
        <f t="shared" si="5"/>
        <v>0</v>
      </c>
      <c r="R42" s="117">
        <f t="shared" si="5"/>
        <v>0</v>
      </c>
      <c r="S42" s="117">
        <f t="shared" si="5"/>
        <v>27913510</v>
      </c>
      <c r="T42" s="117">
        <f t="shared" si="5"/>
        <v>0</v>
      </c>
      <c r="U42" s="117">
        <f t="shared" si="5"/>
        <v>0</v>
      </c>
    </row>
    <row r="43" spans="1:21" ht="18">
      <c r="A43" s="114"/>
      <c r="B43" s="114" t="s">
        <v>328</v>
      </c>
      <c r="C43" s="118" t="s">
        <v>329</v>
      </c>
      <c r="D43" s="119">
        <f aca="true" t="shared" si="6" ref="D43:D62">SUM(E43:L43)</f>
        <v>123750000</v>
      </c>
      <c r="E43" s="120">
        <v>0</v>
      </c>
      <c r="F43" s="120">
        <v>0</v>
      </c>
      <c r="G43" s="120">
        <v>123750000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19">
        <f aca="true" t="shared" si="7" ref="M43:M62">SUM(N43:U43)</f>
        <v>126690942</v>
      </c>
      <c r="N43" s="120">
        <v>0</v>
      </c>
      <c r="O43" s="120">
        <v>0</v>
      </c>
      <c r="P43" s="120">
        <v>126690942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</row>
    <row r="44" spans="1:21" ht="18">
      <c r="A44" s="114"/>
      <c r="B44" s="114" t="s">
        <v>330</v>
      </c>
      <c r="C44" s="121" t="s">
        <v>331</v>
      </c>
      <c r="D44" s="119">
        <f t="shared" si="6"/>
        <v>10000000</v>
      </c>
      <c r="E44" s="120">
        <v>0</v>
      </c>
      <c r="F44" s="120">
        <v>0</v>
      </c>
      <c r="G44" s="120">
        <v>10000000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19">
        <f t="shared" si="7"/>
        <v>10000000</v>
      </c>
      <c r="N44" s="120">
        <v>0</v>
      </c>
      <c r="O44" s="120">
        <v>0</v>
      </c>
      <c r="P44" s="120">
        <v>10000000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</row>
    <row r="45" spans="1:21" ht="30">
      <c r="A45" s="114"/>
      <c r="B45" s="114" t="s">
        <v>332</v>
      </c>
      <c r="C45" s="121" t="s">
        <v>333</v>
      </c>
      <c r="D45" s="119">
        <f t="shared" si="6"/>
        <v>30000000</v>
      </c>
      <c r="E45" s="120">
        <v>0</v>
      </c>
      <c r="F45" s="120">
        <v>0</v>
      </c>
      <c r="G45" s="120">
        <v>30000000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19">
        <f t="shared" si="7"/>
        <v>39353343</v>
      </c>
      <c r="N45" s="120">
        <v>0</v>
      </c>
      <c r="O45" s="120">
        <v>0</v>
      </c>
      <c r="P45" s="120">
        <f>41346343-1993000</f>
        <v>39353343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</row>
    <row r="46" spans="1:21" ht="18">
      <c r="A46" s="114"/>
      <c r="B46" s="114" t="s">
        <v>334</v>
      </c>
      <c r="C46" s="123" t="s">
        <v>335</v>
      </c>
      <c r="D46" s="119">
        <f t="shared" si="6"/>
        <v>10000000</v>
      </c>
      <c r="E46" s="120">
        <v>0</v>
      </c>
      <c r="F46" s="120">
        <v>0</v>
      </c>
      <c r="G46" s="120">
        <v>10000000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19">
        <f t="shared" si="7"/>
        <v>10000000</v>
      </c>
      <c r="N46" s="120">
        <v>0</v>
      </c>
      <c r="O46" s="120">
        <v>0</v>
      </c>
      <c r="P46" s="120">
        <v>10000000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</row>
    <row r="47" spans="1:21" ht="30">
      <c r="A47" s="114"/>
      <c r="B47" s="114" t="s">
        <v>336</v>
      </c>
      <c r="C47" s="123" t="s">
        <v>337</v>
      </c>
      <c r="D47" s="119">
        <f t="shared" si="6"/>
        <v>1000000</v>
      </c>
      <c r="E47" s="120">
        <v>0</v>
      </c>
      <c r="F47" s="120">
        <v>0</v>
      </c>
      <c r="G47" s="120">
        <v>1000000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19">
        <f t="shared" si="7"/>
        <v>1000000</v>
      </c>
      <c r="N47" s="120">
        <v>0</v>
      </c>
      <c r="O47" s="120">
        <v>0</v>
      </c>
      <c r="P47" s="120">
        <f>1000000-825500</f>
        <v>174500</v>
      </c>
      <c r="Q47" s="120">
        <v>0</v>
      </c>
      <c r="R47" s="120">
        <v>0</v>
      </c>
      <c r="S47" s="120">
        <f>825500</f>
        <v>825500</v>
      </c>
      <c r="T47" s="120">
        <v>0</v>
      </c>
      <c r="U47" s="120">
        <v>0</v>
      </c>
    </row>
    <row r="48" spans="1:21" ht="30">
      <c r="A48" s="114"/>
      <c r="B48" s="114" t="s">
        <v>338</v>
      </c>
      <c r="C48" s="123" t="s">
        <v>339</v>
      </c>
      <c r="D48" s="119">
        <f t="shared" si="6"/>
        <v>2000000</v>
      </c>
      <c r="E48" s="120">
        <v>0</v>
      </c>
      <c r="F48" s="120">
        <v>0</v>
      </c>
      <c r="G48" s="120">
        <v>2000000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19">
        <f t="shared" si="7"/>
        <v>2000000</v>
      </c>
      <c r="N48" s="120">
        <v>0</v>
      </c>
      <c r="O48" s="120">
        <v>0</v>
      </c>
      <c r="P48" s="120">
        <v>2000000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</row>
    <row r="49" spans="1:21" ht="18">
      <c r="A49" s="114"/>
      <c r="B49" s="114" t="s">
        <v>340</v>
      </c>
      <c r="C49" s="123" t="s">
        <v>341</v>
      </c>
      <c r="D49" s="119">
        <f t="shared" si="6"/>
        <v>8000000</v>
      </c>
      <c r="E49" s="120">
        <v>0</v>
      </c>
      <c r="F49" s="120">
        <v>0</v>
      </c>
      <c r="G49" s="120">
        <v>8000000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19">
        <f t="shared" si="7"/>
        <v>8000000</v>
      </c>
      <c r="N49" s="120">
        <v>0</v>
      </c>
      <c r="O49" s="120">
        <v>0</v>
      </c>
      <c r="P49" s="120">
        <v>8000000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</row>
    <row r="50" spans="1:21" ht="18">
      <c r="A50" s="114"/>
      <c r="B50" s="114" t="s">
        <v>342</v>
      </c>
      <c r="C50" s="123" t="s">
        <v>343</v>
      </c>
      <c r="D50" s="119">
        <f t="shared" si="6"/>
        <v>1000000</v>
      </c>
      <c r="E50" s="120">
        <v>0</v>
      </c>
      <c r="F50" s="120">
        <v>0</v>
      </c>
      <c r="G50" s="120">
        <v>1000000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19">
        <f t="shared" si="7"/>
        <v>2084586</v>
      </c>
      <c r="N50" s="120">
        <v>0</v>
      </c>
      <c r="O50" s="120">
        <v>0</v>
      </c>
      <c r="P50" s="120">
        <f>1005086+1079500</f>
        <v>2084586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</row>
    <row r="51" spans="1:21" ht="30">
      <c r="A51" s="114"/>
      <c r="B51" s="114" t="s">
        <v>344</v>
      </c>
      <c r="C51" s="123" t="s">
        <v>345</v>
      </c>
      <c r="D51" s="119">
        <f t="shared" si="6"/>
        <v>12000000</v>
      </c>
      <c r="E51" s="120">
        <v>0</v>
      </c>
      <c r="F51" s="120">
        <v>0</v>
      </c>
      <c r="G51" s="120">
        <v>12000000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19">
        <f t="shared" si="7"/>
        <v>12952500</v>
      </c>
      <c r="N51" s="120">
        <v>0</v>
      </c>
      <c r="O51" s="120">
        <v>0</v>
      </c>
      <c r="P51" s="120">
        <v>12952500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</row>
    <row r="52" spans="1:21" ht="19.5" customHeight="1">
      <c r="A52" s="114"/>
      <c r="B52" s="114" t="s">
        <v>346</v>
      </c>
      <c r="C52" s="123" t="s">
        <v>347</v>
      </c>
      <c r="D52" s="119">
        <f t="shared" si="6"/>
        <v>2000000</v>
      </c>
      <c r="E52" s="120">
        <v>0</v>
      </c>
      <c r="F52" s="120">
        <v>0</v>
      </c>
      <c r="G52" s="120">
        <v>2000000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19">
        <f t="shared" si="7"/>
        <v>1808511</v>
      </c>
      <c r="N52" s="120">
        <v>0</v>
      </c>
      <c r="O52" s="120">
        <v>0</v>
      </c>
      <c r="P52" s="120">
        <f>2020511-212000</f>
        <v>1808511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</row>
    <row r="53" spans="1:21" ht="45">
      <c r="A53" s="114"/>
      <c r="B53" s="114" t="s">
        <v>348</v>
      </c>
      <c r="C53" s="124" t="s">
        <v>349</v>
      </c>
      <c r="D53" s="119">
        <f t="shared" si="6"/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19">
        <f t="shared" si="7"/>
        <v>14986000</v>
      </c>
      <c r="N53" s="120">
        <v>0</v>
      </c>
      <c r="O53" s="120">
        <v>0</v>
      </c>
      <c r="P53" s="120">
        <v>14986000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</row>
    <row r="54" spans="1:21" ht="18">
      <c r="A54" s="114"/>
      <c r="B54" s="114" t="s">
        <v>350</v>
      </c>
      <c r="C54" s="124" t="s">
        <v>351</v>
      </c>
      <c r="D54" s="119">
        <f t="shared" si="6"/>
        <v>20000000</v>
      </c>
      <c r="E54" s="120">
        <v>0</v>
      </c>
      <c r="F54" s="120">
        <v>0</v>
      </c>
      <c r="G54" s="120">
        <v>20000000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19">
        <f t="shared" si="7"/>
        <v>20000000</v>
      </c>
      <c r="N54" s="120">
        <v>0</v>
      </c>
      <c r="O54" s="120">
        <v>0</v>
      </c>
      <c r="P54" s="120">
        <v>20000000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</row>
    <row r="55" spans="1:21" ht="30">
      <c r="A55" s="114"/>
      <c r="B55" s="114" t="s">
        <v>352</v>
      </c>
      <c r="C55" s="124" t="s">
        <v>353</v>
      </c>
      <c r="D55" s="119">
        <f t="shared" si="6"/>
        <v>5000000</v>
      </c>
      <c r="E55" s="120">
        <v>0</v>
      </c>
      <c r="F55" s="120">
        <v>0</v>
      </c>
      <c r="G55" s="120">
        <v>5000000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19">
        <f t="shared" si="7"/>
        <v>5000000</v>
      </c>
      <c r="N55" s="120">
        <v>0</v>
      </c>
      <c r="O55" s="120">
        <v>0</v>
      </c>
      <c r="P55" s="120">
        <v>5000000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</row>
    <row r="56" spans="1:21" ht="18">
      <c r="A56" s="114"/>
      <c r="B56" s="114" t="s">
        <v>354</v>
      </c>
      <c r="C56" s="124" t="s">
        <v>355</v>
      </c>
      <c r="D56" s="119">
        <f t="shared" si="6"/>
        <v>15000000</v>
      </c>
      <c r="E56" s="120">
        <v>0</v>
      </c>
      <c r="F56" s="120">
        <v>0</v>
      </c>
      <c r="G56" s="120">
        <v>15000000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19">
        <f t="shared" si="7"/>
        <v>15000000</v>
      </c>
      <c r="N56" s="120">
        <v>0</v>
      </c>
      <c r="O56" s="120">
        <v>0</v>
      </c>
      <c r="P56" s="120">
        <v>15000000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</row>
    <row r="57" spans="1:21" ht="30">
      <c r="A57" s="114"/>
      <c r="B57" s="114" t="s">
        <v>356</v>
      </c>
      <c r="C57" s="124" t="s">
        <v>357</v>
      </c>
      <c r="D57" s="119">
        <f t="shared" si="6"/>
        <v>10000000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10000000</v>
      </c>
      <c r="K57" s="120">
        <v>0</v>
      </c>
      <c r="L57" s="120">
        <v>0</v>
      </c>
      <c r="M57" s="119">
        <f t="shared" si="7"/>
        <v>10000000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10000000</v>
      </c>
      <c r="T57" s="120">
        <v>0</v>
      </c>
      <c r="U57" s="120">
        <v>0</v>
      </c>
    </row>
    <row r="58" spans="1:21" ht="30">
      <c r="A58" s="114"/>
      <c r="B58" s="114" t="s">
        <v>358</v>
      </c>
      <c r="C58" s="124" t="s">
        <v>359</v>
      </c>
      <c r="D58" s="119">
        <f t="shared" si="6"/>
        <v>10000000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10000000</v>
      </c>
      <c r="K58" s="120">
        <v>0</v>
      </c>
      <c r="L58" s="120">
        <v>0</v>
      </c>
      <c r="M58" s="119">
        <f t="shared" si="7"/>
        <v>10588010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10588010</v>
      </c>
      <c r="T58" s="120">
        <v>0</v>
      </c>
      <c r="U58" s="120">
        <v>0</v>
      </c>
    </row>
    <row r="59" spans="1:21" ht="18">
      <c r="A59" s="114"/>
      <c r="B59" s="114" t="s">
        <v>360</v>
      </c>
      <c r="C59" s="124" t="s">
        <v>361</v>
      </c>
      <c r="D59" s="119">
        <f t="shared" si="6"/>
        <v>6500000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6500000</v>
      </c>
      <c r="K59" s="120">
        <v>0</v>
      </c>
      <c r="L59" s="120">
        <v>0</v>
      </c>
      <c r="M59" s="119">
        <f t="shared" si="7"/>
        <v>6500000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6500000</v>
      </c>
      <c r="T59" s="120">
        <v>0</v>
      </c>
      <c r="U59" s="120">
        <v>0</v>
      </c>
    </row>
    <row r="60" spans="1:21" ht="18">
      <c r="A60" s="114" t="s">
        <v>47</v>
      </c>
      <c r="B60" s="114"/>
      <c r="C60" s="115" t="s">
        <v>38</v>
      </c>
      <c r="D60" s="116">
        <f t="shared" si="6"/>
        <v>55000000</v>
      </c>
      <c r="E60" s="117">
        <f aca="true" t="shared" si="8" ref="E60:L60">SUM(E61)</f>
        <v>0</v>
      </c>
      <c r="F60" s="117">
        <f t="shared" si="8"/>
        <v>0</v>
      </c>
      <c r="G60" s="117">
        <f t="shared" si="8"/>
        <v>0</v>
      </c>
      <c r="H60" s="117">
        <f t="shared" si="8"/>
        <v>0</v>
      </c>
      <c r="I60" s="117">
        <f t="shared" si="8"/>
        <v>55000000</v>
      </c>
      <c r="J60" s="117">
        <f t="shared" si="8"/>
        <v>0</v>
      </c>
      <c r="K60" s="117">
        <f t="shared" si="8"/>
        <v>0</v>
      </c>
      <c r="L60" s="117">
        <f t="shared" si="8"/>
        <v>0</v>
      </c>
      <c r="M60" s="116">
        <f t="shared" si="7"/>
        <v>55286670</v>
      </c>
      <c r="N60" s="117">
        <f aca="true" t="shared" si="9" ref="N60:U60">SUM(N61)</f>
        <v>0</v>
      </c>
      <c r="O60" s="117">
        <f t="shared" si="9"/>
        <v>0</v>
      </c>
      <c r="P60" s="117">
        <f t="shared" si="9"/>
        <v>0</v>
      </c>
      <c r="Q60" s="117">
        <f t="shared" si="9"/>
        <v>0</v>
      </c>
      <c r="R60" s="117">
        <f t="shared" si="9"/>
        <v>55286670</v>
      </c>
      <c r="S60" s="117">
        <f t="shared" si="9"/>
        <v>0</v>
      </c>
      <c r="T60" s="117">
        <f t="shared" si="9"/>
        <v>0</v>
      </c>
      <c r="U60" s="117">
        <f t="shared" si="9"/>
        <v>0</v>
      </c>
    </row>
    <row r="61" spans="1:21" ht="30">
      <c r="A61" s="114"/>
      <c r="B61" s="114" t="s">
        <v>362</v>
      </c>
      <c r="C61" s="125" t="s">
        <v>363</v>
      </c>
      <c r="D61" s="119">
        <f t="shared" si="6"/>
        <v>55000000</v>
      </c>
      <c r="E61" s="120">
        <v>0</v>
      </c>
      <c r="F61" s="120">
        <v>0</v>
      </c>
      <c r="G61" s="120">
        <v>0</v>
      </c>
      <c r="H61" s="120">
        <v>0</v>
      </c>
      <c r="I61" s="120">
        <v>55000000</v>
      </c>
      <c r="J61" s="120">
        <v>0</v>
      </c>
      <c r="K61" s="120">
        <v>0</v>
      </c>
      <c r="L61" s="126">
        <v>0</v>
      </c>
      <c r="M61" s="119">
        <f t="shared" si="7"/>
        <v>55286670</v>
      </c>
      <c r="N61" s="120">
        <v>0</v>
      </c>
      <c r="O61" s="120">
        <v>0</v>
      </c>
      <c r="P61" s="120">
        <v>0</v>
      </c>
      <c r="Q61" s="120">
        <v>0</v>
      </c>
      <c r="R61" s="120">
        <v>55286670</v>
      </c>
      <c r="S61" s="120">
        <v>0</v>
      </c>
      <c r="T61" s="120">
        <v>0</v>
      </c>
      <c r="U61" s="126">
        <v>0</v>
      </c>
    </row>
    <row r="62" spans="1:21" ht="18" customHeight="1">
      <c r="A62" s="222" t="s">
        <v>364</v>
      </c>
      <c r="B62" s="222"/>
      <c r="C62" s="222"/>
      <c r="D62" s="116">
        <f t="shared" si="6"/>
        <v>2093850000</v>
      </c>
      <c r="E62" s="117">
        <f aca="true" t="shared" si="10" ref="E62:L62">E11+E42+E60</f>
        <v>0</v>
      </c>
      <c r="F62" s="117">
        <f t="shared" si="10"/>
        <v>0</v>
      </c>
      <c r="G62" s="117">
        <f t="shared" si="10"/>
        <v>1771850000</v>
      </c>
      <c r="H62" s="117">
        <f t="shared" si="10"/>
        <v>0</v>
      </c>
      <c r="I62" s="117">
        <f t="shared" si="10"/>
        <v>270500000</v>
      </c>
      <c r="J62" s="117">
        <f t="shared" si="10"/>
        <v>26500000</v>
      </c>
      <c r="K62" s="117">
        <f t="shared" si="10"/>
        <v>25000000</v>
      </c>
      <c r="L62" s="117">
        <f t="shared" si="10"/>
        <v>0</v>
      </c>
      <c r="M62" s="116">
        <f t="shared" si="7"/>
        <v>2574793616</v>
      </c>
      <c r="N62" s="117">
        <f aca="true" t="shared" si="11" ref="N62:U62">N11+N42+N60</f>
        <v>0</v>
      </c>
      <c r="O62" s="117">
        <f t="shared" si="11"/>
        <v>0</v>
      </c>
      <c r="P62" s="117">
        <f t="shared" si="11"/>
        <v>2233377964</v>
      </c>
      <c r="Q62" s="117">
        <f t="shared" si="11"/>
        <v>0</v>
      </c>
      <c r="R62" s="117">
        <f t="shared" si="11"/>
        <v>301548680</v>
      </c>
      <c r="S62" s="117">
        <f t="shared" si="11"/>
        <v>34866972</v>
      </c>
      <c r="T62" s="117">
        <f t="shared" si="11"/>
        <v>5000000</v>
      </c>
      <c r="U62" s="117">
        <f t="shared" si="11"/>
        <v>0</v>
      </c>
    </row>
  </sheetData>
  <sheetProtection selectLockedCells="1" selectUnlockedCells="1"/>
  <mergeCells count="17">
    <mergeCell ref="A62:C62"/>
    <mergeCell ref="A1:U1"/>
    <mergeCell ref="A3:L3"/>
    <mergeCell ref="A4:U4"/>
    <mergeCell ref="A5:U5"/>
    <mergeCell ref="A8:A10"/>
    <mergeCell ref="B8:B10"/>
    <mergeCell ref="C8:C10"/>
    <mergeCell ref="D8:D10"/>
    <mergeCell ref="E8:L8"/>
    <mergeCell ref="A2:U2"/>
    <mergeCell ref="N8:U8"/>
    <mergeCell ref="E9:I9"/>
    <mergeCell ref="J9:L9"/>
    <mergeCell ref="N9:R9"/>
    <mergeCell ref="S9:U9"/>
    <mergeCell ref="M8:M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41"/>
  <sheetViews>
    <sheetView view="pageBreakPreview" zoomScale="70" zoomScaleNormal="71" zoomScaleSheetLayoutView="70" zoomScalePageLayoutView="0" workbookViewId="0" topLeftCell="A1">
      <pane xSplit="4" ySplit="11" topLeftCell="E57" activePane="bottomRight" state="frozen"/>
      <selection pane="topLeft" activeCell="A1" sqref="A1"/>
      <selection pane="topRight" activeCell="M1" sqref="M1"/>
      <selection pane="bottomLeft" activeCell="A111" sqref="A111"/>
      <selection pane="bottomRight" activeCell="A1" sqref="A1:U1"/>
    </sheetView>
  </sheetViews>
  <sheetFormatPr defaultColWidth="9.140625" defaultRowHeight="12.75"/>
  <cols>
    <col min="1" max="1" width="5.140625" style="0" customWidth="1"/>
    <col min="2" max="2" width="9.57421875" style="0" customWidth="1"/>
    <col min="3" max="3" width="60.00390625" style="0" customWidth="1"/>
    <col min="4" max="4" width="19.28125" style="0" customWidth="1"/>
    <col min="5" max="9" width="14.57421875" style="0" customWidth="1"/>
    <col min="10" max="10" width="20.57421875" style="0" customWidth="1"/>
    <col min="11" max="11" width="20.28125" style="0" customWidth="1"/>
    <col min="12" max="12" width="18.00390625" style="0" customWidth="1"/>
    <col min="13" max="13" width="25.140625" style="0" customWidth="1"/>
    <col min="14" max="14" width="13.8515625" style="0" customWidth="1"/>
    <col min="15" max="15" width="13.28125" style="0" customWidth="1"/>
    <col min="16" max="16" width="17.00390625" style="0" customWidth="1"/>
    <col min="17" max="17" width="13.8515625" style="0" customWidth="1"/>
    <col min="18" max="18" width="15.421875" style="0" customWidth="1"/>
    <col min="19" max="19" width="19.8515625" style="0" customWidth="1"/>
    <col min="20" max="21" width="17.140625" style="0" customWidth="1"/>
  </cols>
  <sheetData>
    <row r="1" spans="1:21" ht="18">
      <c r="A1" s="230" t="s">
        <v>1135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8">
      <c r="A2" s="229" t="s">
        <v>1036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365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>
      <c r="A4" s="232" t="s">
        <v>366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9"/>
      <c r="U5" s="127" t="s">
        <v>1</v>
      </c>
    </row>
    <row r="6" spans="1:21" ht="12.75">
      <c r="A6" s="128" t="s">
        <v>2</v>
      </c>
      <c r="B6" s="128" t="s">
        <v>3</v>
      </c>
      <c r="C6" s="128" t="s">
        <v>4</v>
      </c>
      <c r="D6" s="128" t="s">
        <v>5</v>
      </c>
      <c r="E6" s="128" t="s">
        <v>6</v>
      </c>
      <c r="F6" s="128" t="s">
        <v>7</v>
      </c>
      <c r="G6" s="128" t="s">
        <v>8</v>
      </c>
      <c r="H6" s="128" t="s">
        <v>9</v>
      </c>
      <c r="I6" s="128" t="s">
        <v>10</v>
      </c>
      <c r="J6" s="128" t="s">
        <v>11</v>
      </c>
      <c r="K6" s="128" t="s">
        <v>12</v>
      </c>
      <c r="L6" s="111" t="s">
        <v>13</v>
      </c>
      <c r="M6" s="128" t="s">
        <v>173</v>
      </c>
      <c r="N6" s="128" t="s">
        <v>174</v>
      </c>
      <c r="O6" s="128" t="s">
        <v>175</v>
      </c>
      <c r="P6" s="128" t="s">
        <v>176</v>
      </c>
      <c r="Q6" s="128" t="s">
        <v>177</v>
      </c>
      <c r="R6" s="128" t="s">
        <v>178</v>
      </c>
      <c r="S6" s="128" t="s">
        <v>179</v>
      </c>
      <c r="T6" s="128" t="s">
        <v>180</v>
      </c>
      <c r="U6" s="111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89.25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18">
      <c r="A10" s="114" t="s">
        <v>50</v>
      </c>
      <c r="B10" s="114"/>
      <c r="C10" s="115" t="s">
        <v>34</v>
      </c>
      <c r="D10" s="129">
        <f aca="true" t="shared" si="0" ref="D10:D41">SUM(E10:L10)</f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29">
        <v>0</v>
      </c>
      <c r="M10" s="129">
        <f aca="true" t="shared" si="1" ref="M10:M41">SUM(N10:U10)</f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29">
        <v>0</v>
      </c>
    </row>
    <row r="11" spans="1:21" ht="18">
      <c r="A11" s="114" t="s">
        <v>51</v>
      </c>
      <c r="B11" s="114"/>
      <c r="C11" s="131" t="s">
        <v>36</v>
      </c>
      <c r="D11" s="129">
        <f t="shared" si="0"/>
        <v>1821323000</v>
      </c>
      <c r="E11" s="130">
        <f>SUM(E13:E139)</f>
        <v>0</v>
      </c>
      <c r="F11" s="130">
        <f aca="true" t="shared" si="2" ref="F11:L11">SUM(F13:F139)</f>
        <v>0</v>
      </c>
      <c r="G11" s="130">
        <f t="shared" si="2"/>
        <v>35000000</v>
      </c>
      <c r="H11" s="130">
        <f t="shared" si="2"/>
        <v>0</v>
      </c>
      <c r="I11" s="130">
        <f t="shared" si="2"/>
        <v>0</v>
      </c>
      <c r="J11" s="130">
        <f t="shared" si="2"/>
        <v>1370498000</v>
      </c>
      <c r="K11" s="130">
        <f t="shared" si="2"/>
        <v>279825000</v>
      </c>
      <c r="L11" s="130">
        <f t="shared" si="2"/>
        <v>136000000</v>
      </c>
      <c r="M11" s="129">
        <f t="shared" si="1"/>
        <v>2592271901</v>
      </c>
      <c r="N11" s="130">
        <f>SUM(N12:N139)</f>
        <v>28000</v>
      </c>
      <c r="O11" s="130">
        <f aca="true" t="shared" si="3" ref="O11:U11">SUM(O12:O139)</f>
        <v>0</v>
      </c>
      <c r="P11" s="130">
        <f t="shared" si="3"/>
        <v>77767585</v>
      </c>
      <c r="Q11" s="130">
        <f t="shared" si="3"/>
        <v>0</v>
      </c>
      <c r="R11" s="130">
        <f t="shared" si="3"/>
        <v>1500000</v>
      </c>
      <c r="S11" s="130">
        <f t="shared" si="3"/>
        <v>2052265303</v>
      </c>
      <c r="T11" s="130">
        <f t="shared" si="3"/>
        <v>328612958</v>
      </c>
      <c r="U11" s="130">
        <f t="shared" si="3"/>
        <v>132098055</v>
      </c>
    </row>
    <row r="12" spans="1:21" s="135" customFormat="1" ht="18">
      <c r="A12" s="114"/>
      <c r="B12" s="114" t="s">
        <v>367</v>
      </c>
      <c r="C12" s="125" t="s">
        <v>368</v>
      </c>
      <c r="D12" s="132">
        <f t="shared" si="0"/>
        <v>10000000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4">
        <v>10000000</v>
      </c>
      <c r="K12" s="133">
        <v>0</v>
      </c>
      <c r="L12" s="133">
        <v>0</v>
      </c>
      <c r="M12" s="132">
        <f t="shared" si="1"/>
        <v>10000000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4">
        <v>10000000</v>
      </c>
      <c r="T12" s="133">
        <v>0</v>
      </c>
      <c r="U12" s="133">
        <v>0</v>
      </c>
    </row>
    <row r="13" spans="1:21" ht="34.5" customHeight="1">
      <c r="A13" s="114"/>
      <c r="B13" s="114" t="s">
        <v>369</v>
      </c>
      <c r="C13" s="125" t="s">
        <v>370</v>
      </c>
      <c r="D13" s="132">
        <f t="shared" si="0"/>
        <v>2540000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4">
        <v>2540000</v>
      </c>
      <c r="K13" s="133">
        <v>0</v>
      </c>
      <c r="L13" s="133">
        <v>0</v>
      </c>
      <c r="M13" s="132">
        <f t="shared" si="1"/>
        <v>2478000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4">
        <v>2478000</v>
      </c>
      <c r="T13" s="133">
        <v>0</v>
      </c>
      <c r="U13" s="133">
        <v>0</v>
      </c>
    </row>
    <row r="14" spans="1:21" ht="18">
      <c r="A14" s="114"/>
      <c r="B14" s="114" t="s">
        <v>371</v>
      </c>
      <c r="C14" s="125" t="s">
        <v>372</v>
      </c>
      <c r="D14" s="132">
        <f t="shared" si="0"/>
        <v>5040000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4">
        <v>5040000</v>
      </c>
      <c r="K14" s="133">
        <v>0</v>
      </c>
      <c r="L14" s="133">
        <v>0</v>
      </c>
      <c r="M14" s="132">
        <f t="shared" si="1"/>
        <v>5040000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4">
        <v>5040000</v>
      </c>
      <c r="T14" s="133">
        <v>0</v>
      </c>
      <c r="U14" s="133">
        <v>0</v>
      </c>
    </row>
    <row r="15" spans="1:21" ht="18">
      <c r="A15" s="114"/>
      <c r="B15" s="114" t="s">
        <v>373</v>
      </c>
      <c r="C15" s="125" t="s">
        <v>374</v>
      </c>
      <c r="D15" s="132">
        <f t="shared" si="0"/>
        <v>3175000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4">
        <v>3175000</v>
      </c>
      <c r="K15" s="133">
        <v>0</v>
      </c>
      <c r="L15" s="133">
        <v>0</v>
      </c>
      <c r="M15" s="132">
        <f t="shared" si="1"/>
        <v>15871424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4">
        <v>15871424</v>
      </c>
      <c r="T15" s="133">
        <v>0</v>
      </c>
      <c r="U15" s="133">
        <v>0</v>
      </c>
    </row>
    <row r="16" spans="1:21" ht="18">
      <c r="A16" s="114"/>
      <c r="B16" s="114" t="s">
        <v>375</v>
      </c>
      <c r="C16" s="125" t="s">
        <v>376</v>
      </c>
      <c r="D16" s="132">
        <f t="shared" si="0"/>
        <v>59055000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4">
        <v>0</v>
      </c>
      <c r="K16" s="133">
        <v>59055000</v>
      </c>
      <c r="L16" s="133">
        <v>0</v>
      </c>
      <c r="M16" s="132">
        <f t="shared" si="1"/>
        <v>65839975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4">
        <v>5260975</v>
      </c>
      <c r="T16" s="133">
        <v>60579000</v>
      </c>
      <c r="U16" s="133">
        <v>0</v>
      </c>
    </row>
    <row r="17" spans="1:21" ht="18">
      <c r="A17" s="114"/>
      <c r="B17" s="114" t="s">
        <v>377</v>
      </c>
      <c r="C17" s="125" t="s">
        <v>378</v>
      </c>
      <c r="D17" s="132">
        <f t="shared" si="0"/>
        <v>16005000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4">
        <v>16005000</v>
      </c>
      <c r="K17" s="133">
        <v>0</v>
      </c>
      <c r="L17" s="133">
        <v>0</v>
      </c>
      <c r="M17" s="132">
        <f t="shared" si="1"/>
        <v>16067000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4">
        <v>16067000</v>
      </c>
      <c r="T17" s="133">
        <v>0</v>
      </c>
      <c r="U17" s="133">
        <v>0</v>
      </c>
    </row>
    <row r="18" spans="1:21" ht="31.5" customHeight="1">
      <c r="A18" s="114"/>
      <c r="B18" s="114" t="s">
        <v>379</v>
      </c>
      <c r="C18" s="125" t="s">
        <v>380</v>
      </c>
      <c r="D18" s="132">
        <f t="shared" si="0"/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4">
        <v>0</v>
      </c>
      <c r="K18" s="133">
        <v>0</v>
      </c>
      <c r="L18" s="133">
        <v>0</v>
      </c>
      <c r="M18" s="132">
        <f t="shared" si="1"/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4">
        <v>0</v>
      </c>
      <c r="T18" s="133">
        <v>0</v>
      </c>
      <c r="U18" s="133">
        <v>0</v>
      </c>
    </row>
    <row r="19" spans="1:21" ht="41.25" customHeight="1">
      <c r="A19" s="114"/>
      <c r="B19" s="114" t="s">
        <v>381</v>
      </c>
      <c r="C19" s="136" t="s">
        <v>382</v>
      </c>
      <c r="D19" s="132">
        <f t="shared" si="0"/>
        <v>2024000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7">
        <v>2024000</v>
      </c>
      <c r="K19" s="133">
        <v>0</v>
      </c>
      <c r="L19" s="133">
        <v>0</v>
      </c>
      <c r="M19" s="132">
        <f t="shared" si="1"/>
        <v>2024000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7">
        <v>2024000</v>
      </c>
      <c r="T19" s="133">
        <v>0</v>
      </c>
      <c r="U19" s="133">
        <v>0</v>
      </c>
    </row>
    <row r="20" spans="1:21" ht="18">
      <c r="A20" s="114"/>
      <c r="B20" s="114" t="s">
        <v>383</v>
      </c>
      <c r="C20" s="136" t="s">
        <v>384</v>
      </c>
      <c r="D20" s="132">
        <f t="shared" si="0"/>
        <v>19150000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7">
        <v>19150000</v>
      </c>
      <c r="K20" s="133">
        <v>0</v>
      </c>
      <c r="L20" s="133">
        <v>0</v>
      </c>
      <c r="M20" s="132">
        <f t="shared" si="1"/>
        <v>19150000</v>
      </c>
      <c r="N20" s="133">
        <v>0</v>
      </c>
      <c r="O20" s="133">
        <v>0</v>
      </c>
      <c r="P20" s="133">
        <v>100000</v>
      </c>
      <c r="Q20" s="133">
        <v>0</v>
      </c>
      <c r="R20" s="133">
        <v>0</v>
      </c>
      <c r="S20" s="137">
        <v>12068302</v>
      </c>
      <c r="T20" s="133">
        <v>6981698</v>
      </c>
      <c r="U20" s="133">
        <v>0</v>
      </c>
    </row>
    <row r="21" spans="1:21" ht="18">
      <c r="A21" s="114"/>
      <c r="B21" s="114" t="s">
        <v>385</v>
      </c>
      <c r="C21" s="136" t="s">
        <v>386</v>
      </c>
      <c r="D21" s="132">
        <f t="shared" si="0"/>
        <v>29610000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7">
        <v>29610000</v>
      </c>
      <c r="K21" s="133">
        <v>0</v>
      </c>
      <c r="L21" s="133">
        <v>0</v>
      </c>
      <c r="M21" s="132">
        <f t="shared" si="1"/>
        <v>85806064</v>
      </c>
      <c r="N21" s="133">
        <v>0</v>
      </c>
      <c r="O21" s="133">
        <v>0</v>
      </c>
      <c r="P21" s="133">
        <f>2445160+1493933</f>
        <v>3939093</v>
      </c>
      <c r="Q21" s="133">
        <v>0</v>
      </c>
      <c r="R21" s="133">
        <v>0</v>
      </c>
      <c r="S21" s="137">
        <f>91860904-1493933-8500000</f>
        <v>81866971</v>
      </c>
      <c r="T21" s="133">
        <v>0</v>
      </c>
      <c r="U21" s="133">
        <v>0</v>
      </c>
    </row>
    <row r="22" spans="1:21" ht="18">
      <c r="A22" s="114"/>
      <c r="B22" s="114" t="s">
        <v>387</v>
      </c>
      <c r="C22" s="136" t="s">
        <v>388</v>
      </c>
      <c r="D22" s="132">
        <f t="shared" si="0"/>
        <v>0</v>
      </c>
      <c r="E22" s="133">
        <v>0</v>
      </c>
      <c r="F22" s="133"/>
      <c r="G22" s="133"/>
      <c r="H22" s="133"/>
      <c r="I22" s="133"/>
      <c r="J22" s="137">
        <v>0</v>
      </c>
      <c r="K22" s="133"/>
      <c r="L22" s="133"/>
      <c r="M22" s="132">
        <f t="shared" si="1"/>
        <v>0</v>
      </c>
      <c r="N22" s="133">
        <v>0</v>
      </c>
      <c r="O22" s="133"/>
      <c r="P22" s="133"/>
      <c r="Q22" s="133"/>
      <c r="R22" s="133"/>
      <c r="S22" s="137">
        <v>0</v>
      </c>
      <c r="T22" s="133"/>
      <c r="U22" s="133"/>
    </row>
    <row r="23" spans="1:21" ht="18">
      <c r="A23" s="114"/>
      <c r="B23" s="114" t="s">
        <v>389</v>
      </c>
      <c r="C23" s="136" t="s">
        <v>390</v>
      </c>
      <c r="D23" s="132">
        <f t="shared" si="0"/>
        <v>17019000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7">
        <v>17019000</v>
      </c>
      <c r="K23" s="133">
        <v>0</v>
      </c>
      <c r="L23" s="133">
        <v>0</v>
      </c>
      <c r="M23" s="132">
        <f t="shared" si="1"/>
        <v>17019000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7">
        <v>17019000</v>
      </c>
      <c r="T23" s="133">
        <v>0</v>
      </c>
      <c r="U23" s="133">
        <v>0</v>
      </c>
    </row>
    <row r="24" spans="1:21" ht="18">
      <c r="A24" s="114"/>
      <c r="B24" s="114" t="s">
        <v>391</v>
      </c>
      <c r="C24" s="136" t="s">
        <v>392</v>
      </c>
      <c r="D24" s="132">
        <f t="shared" si="0"/>
        <v>4800000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7">
        <v>4800000</v>
      </c>
      <c r="K24" s="133">
        <v>0</v>
      </c>
      <c r="L24" s="133">
        <v>0</v>
      </c>
      <c r="M24" s="132">
        <f t="shared" si="1"/>
        <v>9341318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7">
        <v>9341318</v>
      </c>
      <c r="T24" s="133">
        <v>0</v>
      </c>
      <c r="U24" s="133">
        <v>0</v>
      </c>
    </row>
    <row r="25" spans="1:21" ht="18">
      <c r="A25" s="114"/>
      <c r="B25" s="114" t="s">
        <v>393</v>
      </c>
      <c r="C25" s="136" t="s">
        <v>394</v>
      </c>
      <c r="D25" s="132">
        <f t="shared" si="0"/>
        <v>1500000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7">
        <v>1500000</v>
      </c>
      <c r="K25" s="133">
        <v>0</v>
      </c>
      <c r="L25" s="133">
        <v>0</v>
      </c>
      <c r="M25" s="132">
        <f t="shared" si="1"/>
        <v>1500000</v>
      </c>
      <c r="N25" s="133">
        <v>0</v>
      </c>
      <c r="O25" s="133">
        <v>0</v>
      </c>
      <c r="P25" s="133">
        <v>0</v>
      </c>
      <c r="Q25" s="133">
        <v>0</v>
      </c>
      <c r="R25" s="133">
        <v>1500000</v>
      </c>
      <c r="S25" s="137">
        <v>0</v>
      </c>
      <c r="T25" s="133">
        <v>0</v>
      </c>
      <c r="U25" s="133">
        <v>0</v>
      </c>
    </row>
    <row r="26" spans="1:21" ht="18">
      <c r="A26" s="114"/>
      <c r="B26" s="114" t="s">
        <v>395</v>
      </c>
      <c r="C26" s="136" t="s">
        <v>396</v>
      </c>
      <c r="D26" s="132">
        <f t="shared" si="0"/>
        <v>25000000</v>
      </c>
      <c r="E26" s="133">
        <v>0</v>
      </c>
      <c r="F26" s="133"/>
      <c r="G26" s="133">
        <v>0</v>
      </c>
      <c r="H26" s="133">
        <v>0</v>
      </c>
      <c r="I26" s="133">
        <v>0</v>
      </c>
      <c r="J26" s="137">
        <v>25000000</v>
      </c>
      <c r="K26" s="133">
        <v>0</v>
      </c>
      <c r="L26" s="133">
        <v>0</v>
      </c>
      <c r="M26" s="132">
        <f t="shared" si="1"/>
        <v>25000000</v>
      </c>
      <c r="N26" s="133">
        <v>0</v>
      </c>
      <c r="O26" s="133"/>
      <c r="P26" s="133">
        <v>0</v>
      </c>
      <c r="Q26" s="133">
        <v>0</v>
      </c>
      <c r="R26" s="133">
        <v>0</v>
      </c>
      <c r="S26" s="137">
        <v>25000000</v>
      </c>
      <c r="T26" s="133">
        <v>0</v>
      </c>
      <c r="U26" s="133">
        <v>0</v>
      </c>
    </row>
    <row r="27" spans="1:21" ht="18">
      <c r="A27" s="114"/>
      <c r="B27" s="114" t="s">
        <v>397</v>
      </c>
      <c r="C27" s="138" t="s">
        <v>398</v>
      </c>
      <c r="D27" s="132">
        <f t="shared" si="0"/>
        <v>635000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7">
        <v>635000</v>
      </c>
      <c r="K27" s="133">
        <v>0</v>
      </c>
      <c r="L27" s="133">
        <v>0</v>
      </c>
      <c r="M27" s="132">
        <f t="shared" si="1"/>
        <v>635000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7">
        <v>635000</v>
      </c>
      <c r="T27" s="133">
        <v>0</v>
      </c>
      <c r="U27" s="133">
        <v>0</v>
      </c>
    </row>
    <row r="28" spans="1:21" ht="18">
      <c r="A28" s="114"/>
      <c r="B28" s="114" t="s">
        <v>399</v>
      </c>
      <c r="C28" s="136" t="s">
        <v>400</v>
      </c>
      <c r="D28" s="132">
        <f t="shared" si="0"/>
        <v>1000000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7">
        <v>1000000</v>
      </c>
      <c r="K28" s="133">
        <v>0</v>
      </c>
      <c r="L28" s="133">
        <v>0</v>
      </c>
      <c r="M28" s="132">
        <f t="shared" si="1"/>
        <v>1000000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7">
        <v>1000000</v>
      </c>
      <c r="T28" s="133">
        <v>0</v>
      </c>
      <c r="U28" s="133">
        <v>0</v>
      </c>
    </row>
    <row r="29" spans="1:21" ht="18">
      <c r="A29" s="114"/>
      <c r="B29" s="114" t="s">
        <v>401</v>
      </c>
      <c r="C29" s="125" t="s">
        <v>402</v>
      </c>
      <c r="D29" s="132">
        <f t="shared" si="0"/>
        <v>95000000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4">
        <v>0</v>
      </c>
      <c r="K29" s="133">
        <v>0</v>
      </c>
      <c r="L29" s="133">
        <v>95000000</v>
      </c>
      <c r="M29" s="132">
        <f t="shared" si="1"/>
        <v>100016500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4">
        <v>10033000</v>
      </c>
      <c r="T29" s="133">
        <v>0</v>
      </c>
      <c r="U29" s="133">
        <v>89983500</v>
      </c>
    </row>
    <row r="30" spans="1:21" ht="18">
      <c r="A30" s="114"/>
      <c r="B30" s="114" t="s">
        <v>403</v>
      </c>
      <c r="C30" s="125" t="s">
        <v>404</v>
      </c>
      <c r="D30" s="132">
        <f t="shared" si="0"/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4">
        <v>0</v>
      </c>
      <c r="K30" s="133">
        <v>0</v>
      </c>
      <c r="L30" s="133">
        <v>0</v>
      </c>
      <c r="M30" s="132">
        <f t="shared" si="1"/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4">
        <v>0</v>
      </c>
      <c r="T30" s="133">
        <v>0</v>
      </c>
      <c r="U30" s="133">
        <v>0</v>
      </c>
    </row>
    <row r="31" spans="1:21" ht="30" customHeight="1">
      <c r="A31" s="114"/>
      <c r="B31" s="114" t="s">
        <v>405</v>
      </c>
      <c r="C31" s="125" t="s">
        <v>406</v>
      </c>
      <c r="D31" s="132">
        <f t="shared" si="0"/>
        <v>18000000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4">
        <v>0</v>
      </c>
      <c r="K31" s="133">
        <v>18000000</v>
      </c>
      <c r="L31" s="133"/>
      <c r="M31" s="132">
        <f t="shared" si="1"/>
        <v>19696000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4">
        <v>0</v>
      </c>
      <c r="T31" s="133">
        <f>18000000+1696000</f>
        <v>19696000</v>
      </c>
      <c r="U31" s="133"/>
    </row>
    <row r="32" spans="1:21" ht="30.75" customHeight="1">
      <c r="A32" s="114"/>
      <c r="B32" s="114" t="s">
        <v>407</v>
      </c>
      <c r="C32" s="125" t="s">
        <v>408</v>
      </c>
      <c r="D32" s="132">
        <f t="shared" si="0"/>
        <v>41270000</v>
      </c>
      <c r="E32" s="133">
        <v>0</v>
      </c>
      <c r="F32" s="133"/>
      <c r="G32" s="133">
        <v>0</v>
      </c>
      <c r="H32" s="133">
        <v>0</v>
      </c>
      <c r="I32" s="133">
        <v>0</v>
      </c>
      <c r="J32" s="134">
        <v>0</v>
      </c>
      <c r="K32" s="133">
        <v>41270000</v>
      </c>
      <c r="L32" s="133">
        <v>0</v>
      </c>
      <c r="M32" s="132">
        <f t="shared" si="1"/>
        <v>41270000</v>
      </c>
      <c r="N32" s="133">
        <v>0</v>
      </c>
      <c r="O32" s="133"/>
      <c r="P32" s="133">
        <v>0</v>
      </c>
      <c r="Q32" s="133">
        <v>0</v>
      </c>
      <c r="R32" s="133">
        <v>0</v>
      </c>
      <c r="S32" s="134">
        <v>0</v>
      </c>
      <c r="T32" s="133">
        <v>41270000</v>
      </c>
      <c r="U32" s="133">
        <v>0</v>
      </c>
    </row>
    <row r="33" spans="1:21" ht="30.75" customHeight="1">
      <c r="A33" s="114"/>
      <c r="B33" s="114" t="s">
        <v>409</v>
      </c>
      <c r="C33" s="125" t="s">
        <v>410</v>
      </c>
      <c r="D33" s="132">
        <f t="shared" si="0"/>
        <v>8000000</v>
      </c>
      <c r="E33" s="133"/>
      <c r="F33" s="133"/>
      <c r="G33" s="133"/>
      <c r="H33" s="133"/>
      <c r="I33" s="133"/>
      <c r="J33" s="134"/>
      <c r="K33" s="133">
        <v>8000000</v>
      </c>
      <c r="L33" s="133"/>
      <c r="M33" s="132">
        <f t="shared" si="1"/>
        <v>8000000</v>
      </c>
      <c r="N33" s="133"/>
      <c r="O33" s="133"/>
      <c r="P33" s="133"/>
      <c r="Q33" s="133"/>
      <c r="R33" s="133"/>
      <c r="S33" s="134"/>
      <c r="T33" s="133">
        <v>8000000</v>
      </c>
      <c r="U33" s="133"/>
    </row>
    <row r="34" spans="1:21" ht="18">
      <c r="A34" s="114"/>
      <c r="B34" s="114" t="s">
        <v>411</v>
      </c>
      <c r="C34" s="125" t="s">
        <v>412</v>
      </c>
      <c r="D34" s="132">
        <f t="shared" si="0"/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4">
        <v>0</v>
      </c>
      <c r="K34" s="133">
        <v>0</v>
      </c>
      <c r="L34" s="133">
        <v>0</v>
      </c>
      <c r="M34" s="132">
        <f t="shared" si="1"/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4">
        <v>0</v>
      </c>
      <c r="T34" s="133">
        <v>0</v>
      </c>
      <c r="U34" s="133">
        <v>0</v>
      </c>
    </row>
    <row r="35" spans="1:21" ht="18">
      <c r="A35" s="114"/>
      <c r="B35" s="114" t="s">
        <v>413</v>
      </c>
      <c r="C35" s="125" t="s">
        <v>414</v>
      </c>
      <c r="D35" s="132">
        <f t="shared" si="0"/>
        <v>41000000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4">
        <v>0</v>
      </c>
      <c r="K35" s="133">
        <v>0</v>
      </c>
      <c r="L35" s="133">
        <v>41000000</v>
      </c>
      <c r="M35" s="132">
        <f t="shared" si="1"/>
        <v>41000000</v>
      </c>
      <c r="N35" s="133">
        <v>0</v>
      </c>
      <c r="O35" s="133">
        <v>0</v>
      </c>
      <c r="P35" s="133">
        <v>261600</v>
      </c>
      <c r="Q35" s="133">
        <v>0</v>
      </c>
      <c r="R35" s="133">
        <v>0</v>
      </c>
      <c r="S35" s="134">
        <v>0</v>
      </c>
      <c r="T35" s="133">
        <v>0</v>
      </c>
      <c r="U35" s="133">
        <v>40738400</v>
      </c>
    </row>
    <row r="36" spans="1:21" ht="34.5" customHeight="1">
      <c r="A36" s="114"/>
      <c r="B36" s="114" t="s">
        <v>415</v>
      </c>
      <c r="C36" s="125" t="s">
        <v>416</v>
      </c>
      <c r="D36" s="132">
        <f t="shared" si="0"/>
        <v>1500000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4">
        <v>1500000</v>
      </c>
      <c r="K36" s="133">
        <v>0</v>
      </c>
      <c r="L36" s="133">
        <v>0</v>
      </c>
      <c r="M36" s="132">
        <f t="shared" si="1"/>
        <v>1500000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4">
        <v>1500000</v>
      </c>
      <c r="T36" s="133">
        <v>0</v>
      </c>
      <c r="U36" s="133">
        <v>0</v>
      </c>
    </row>
    <row r="37" spans="1:21" s="135" customFormat="1" ht="30">
      <c r="A37" s="114"/>
      <c r="B37" s="114" t="s">
        <v>417</v>
      </c>
      <c r="C37" s="125" t="s">
        <v>418</v>
      </c>
      <c r="D37" s="132">
        <f t="shared" si="0"/>
        <v>50000000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4">
        <v>50000000</v>
      </c>
      <c r="K37" s="133">
        <v>0</v>
      </c>
      <c r="L37" s="133">
        <v>0</v>
      </c>
      <c r="M37" s="132">
        <f t="shared" si="1"/>
        <v>80292888</v>
      </c>
      <c r="N37" s="133">
        <v>0</v>
      </c>
      <c r="O37" s="133">
        <v>0</v>
      </c>
      <c r="P37" s="133">
        <f>250330+4092888</f>
        <v>4343218</v>
      </c>
      <c r="Q37" s="133">
        <v>0</v>
      </c>
      <c r="R37" s="133">
        <v>0</v>
      </c>
      <c r="S37" s="134">
        <v>75949670</v>
      </c>
      <c r="T37" s="133">
        <v>0</v>
      </c>
      <c r="U37" s="133">
        <v>0</v>
      </c>
    </row>
    <row r="38" spans="1:21" ht="32.25" customHeight="1">
      <c r="A38" s="114"/>
      <c r="B38" s="114" t="s">
        <v>419</v>
      </c>
      <c r="C38" s="125" t="s">
        <v>420</v>
      </c>
      <c r="D38" s="132">
        <f t="shared" si="0"/>
        <v>110000000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4">
        <v>110000000</v>
      </c>
      <c r="K38" s="133">
        <v>0</v>
      </c>
      <c r="L38" s="133">
        <v>0</v>
      </c>
      <c r="M38" s="132">
        <f t="shared" si="1"/>
        <v>233098560</v>
      </c>
      <c r="N38" s="133">
        <v>0</v>
      </c>
      <c r="O38" s="133">
        <v>0</v>
      </c>
      <c r="P38" s="133">
        <v>660</v>
      </c>
      <c r="Q38" s="133">
        <v>0</v>
      </c>
      <c r="R38" s="133">
        <v>0</v>
      </c>
      <c r="S38" s="134">
        <v>233097900</v>
      </c>
      <c r="T38" s="133">
        <v>0</v>
      </c>
      <c r="U38" s="133">
        <v>0</v>
      </c>
    </row>
    <row r="39" spans="1:21" ht="18">
      <c r="A39" s="114"/>
      <c r="B39" s="114" t="s">
        <v>421</v>
      </c>
      <c r="C39" s="125" t="s">
        <v>422</v>
      </c>
      <c r="D39" s="132">
        <f t="shared" si="0"/>
        <v>75000000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4">
        <v>75000000</v>
      </c>
      <c r="K39" s="133">
        <v>0</v>
      </c>
      <c r="L39" s="133">
        <v>0</v>
      </c>
      <c r="M39" s="132">
        <f t="shared" si="1"/>
        <v>75000000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4">
        <v>75000000</v>
      </c>
      <c r="T39" s="133">
        <v>0</v>
      </c>
      <c r="U39" s="133">
        <v>0</v>
      </c>
    </row>
    <row r="40" spans="1:21" ht="18">
      <c r="A40" s="114"/>
      <c r="B40" s="114" t="s">
        <v>423</v>
      </c>
      <c r="C40" s="125" t="s">
        <v>424</v>
      </c>
      <c r="D40" s="132">
        <f t="shared" si="0"/>
        <v>500000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4">
        <v>500000</v>
      </c>
      <c r="K40" s="133">
        <v>0</v>
      </c>
      <c r="L40" s="133">
        <v>0</v>
      </c>
      <c r="M40" s="132">
        <f t="shared" si="1"/>
        <v>10000000</v>
      </c>
      <c r="N40" s="133">
        <v>0</v>
      </c>
      <c r="O40" s="133">
        <v>0</v>
      </c>
      <c r="P40" s="133">
        <v>762000</v>
      </c>
      <c r="Q40" s="133">
        <v>0</v>
      </c>
      <c r="R40" s="133">
        <v>0</v>
      </c>
      <c r="S40" s="134">
        <v>9238000</v>
      </c>
      <c r="T40" s="133">
        <v>0</v>
      </c>
      <c r="U40" s="133">
        <v>0</v>
      </c>
    </row>
    <row r="41" spans="1:21" ht="18">
      <c r="A41" s="114"/>
      <c r="B41" s="114" t="s">
        <v>425</v>
      </c>
      <c r="C41" s="125" t="s">
        <v>426</v>
      </c>
      <c r="D41" s="132">
        <f t="shared" si="0"/>
        <v>500000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4">
        <v>500000</v>
      </c>
      <c r="K41" s="133">
        <v>0</v>
      </c>
      <c r="L41" s="133">
        <v>0</v>
      </c>
      <c r="M41" s="132">
        <f t="shared" si="1"/>
        <v>3643250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4">
        <v>500000</v>
      </c>
      <c r="T41" s="133">
        <v>3143250</v>
      </c>
      <c r="U41" s="133">
        <v>0</v>
      </c>
    </row>
    <row r="42" spans="1:21" ht="18">
      <c r="A42" s="114"/>
      <c r="B42" s="114" t="s">
        <v>427</v>
      </c>
      <c r="C42" s="125" t="s">
        <v>428</v>
      </c>
      <c r="D42" s="132">
        <f aca="true" t="shared" si="4" ref="D42:D73">SUM(E42:L42)</f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4">
        <v>0</v>
      </c>
      <c r="K42" s="133">
        <v>0</v>
      </c>
      <c r="L42" s="133">
        <v>0</v>
      </c>
      <c r="M42" s="132">
        <f aca="true" t="shared" si="5" ref="M42:M73">SUM(N42:U42)</f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4">
        <v>0</v>
      </c>
      <c r="T42" s="133">
        <v>0</v>
      </c>
      <c r="U42" s="133">
        <v>0</v>
      </c>
    </row>
    <row r="43" spans="1:21" ht="18">
      <c r="A43" s="114"/>
      <c r="B43" s="114" t="s">
        <v>429</v>
      </c>
      <c r="C43" s="125" t="s">
        <v>430</v>
      </c>
      <c r="D43" s="132">
        <f t="shared" si="4"/>
        <v>60000000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4">
        <v>60000000</v>
      </c>
      <c r="K43" s="133">
        <v>0</v>
      </c>
      <c r="L43" s="133">
        <v>0</v>
      </c>
      <c r="M43" s="132">
        <f t="shared" si="5"/>
        <v>60000000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4">
        <v>60000000</v>
      </c>
      <c r="T43" s="133">
        <v>0</v>
      </c>
      <c r="U43" s="133">
        <v>0</v>
      </c>
    </row>
    <row r="44" spans="1:21" ht="57.75" customHeight="1">
      <c r="A44" s="114"/>
      <c r="B44" s="114" t="s">
        <v>431</v>
      </c>
      <c r="C44" s="125" t="s">
        <v>432</v>
      </c>
      <c r="D44" s="132">
        <f t="shared" si="4"/>
        <v>40000000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4">
        <v>40000000</v>
      </c>
      <c r="K44" s="133">
        <v>0</v>
      </c>
      <c r="L44" s="133">
        <v>0</v>
      </c>
      <c r="M44" s="132">
        <f t="shared" si="5"/>
        <v>13800000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4">
        <v>13800000</v>
      </c>
      <c r="T44" s="133">
        <v>0</v>
      </c>
      <c r="U44" s="133">
        <v>0</v>
      </c>
    </row>
    <row r="45" spans="1:21" ht="32.25" customHeight="1">
      <c r="A45" s="114"/>
      <c r="B45" s="114" t="s">
        <v>433</v>
      </c>
      <c r="C45" s="125" t="s">
        <v>434</v>
      </c>
      <c r="D45" s="132">
        <f t="shared" si="4"/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9">
        <v>0</v>
      </c>
      <c r="K45" s="133">
        <v>0</v>
      </c>
      <c r="L45" s="133">
        <v>0</v>
      </c>
      <c r="M45" s="132">
        <f t="shared" si="5"/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9">
        <v>0</v>
      </c>
      <c r="T45" s="133">
        <v>0</v>
      </c>
      <c r="U45" s="133">
        <v>0</v>
      </c>
    </row>
    <row r="46" spans="1:21" ht="18">
      <c r="A46" s="114"/>
      <c r="B46" s="114" t="s">
        <v>435</v>
      </c>
      <c r="C46" s="140" t="s">
        <v>436</v>
      </c>
      <c r="D46" s="132">
        <f t="shared" si="4"/>
        <v>7000000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4">
        <v>7000000</v>
      </c>
      <c r="K46" s="133">
        <v>0</v>
      </c>
      <c r="L46" s="133">
        <v>0</v>
      </c>
      <c r="M46" s="132">
        <f t="shared" si="5"/>
        <v>17500000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4">
        <v>17500000</v>
      </c>
      <c r="T46" s="133">
        <v>0</v>
      </c>
      <c r="U46" s="133">
        <v>0</v>
      </c>
    </row>
    <row r="47" spans="1:21" ht="33" customHeight="1">
      <c r="A47" s="114"/>
      <c r="B47" s="114" t="s">
        <v>437</v>
      </c>
      <c r="C47" s="140" t="s">
        <v>438</v>
      </c>
      <c r="D47" s="132">
        <f t="shared" si="4"/>
        <v>7000000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4">
        <v>7000000</v>
      </c>
      <c r="K47" s="133">
        <v>0</v>
      </c>
      <c r="L47" s="133">
        <v>0</v>
      </c>
      <c r="M47" s="132">
        <f t="shared" si="5"/>
        <v>12000000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4">
        <v>7000000</v>
      </c>
      <c r="T47" s="133">
        <v>5000000</v>
      </c>
      <c r="U47" s="133">
        <v>0</v>
      </c>
    </row>
    <row r="48" spans="1:21" ht="18">
      <c r="A48" s="114"/>
      <c r="B48" s="114" t="s">
        <v>439</v>
      </c>
      <c r="C48" s="140" t="s">
        <v>440</v>
      </c>
      <c r="D48" s="132">
        <f t="shared" si="4"/>
        <v>2500000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4">
        <v>2500000</v>
      </c>
      <c r="K48" s="133">
        <v>0</v>
      </c>
      <c r="L48" s="133">
        <v>0</v>
      </c>
      <c r="M48" s="132">
        <f t="shared" si="5"/>
        <v>2500000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4">
        <v>2500000</v>
      </c>
      <c r="T48" s="133">
        <v>0</v>
      </c>
      <c r="U48" s="133">
        <v>0</v>
      </c>
    </row>
    <row r="49" spans="1:21" ht="34.5" customHeight="1">
      <c r="A49" s="114"/>
      <c r="B49" s="114" t="s">
        <v>441</v>
      </c>
      <c r="C49" s="141" t="s">
        <v>442</v>
      </c>
      <c r="D49" s="132">
        <f t="shared" si="4"/>
        <v>1000000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4">
        <v>1000000</v>
      </c>
      <c r="K49" s="133">
        <v>0</v>
      </c>
      <c r="L49" s="133">
        <v>0</v>
      </c>
      <c r="M49" s="132">
        <f t="shared" si="5"/>
        <v>1295400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4">
        <v>1295400</v>
      </c>
      <c r="T49" s="133">
        <v>0</v>
      </c>
      <c r="U49" s="133">
        <v>0</v>
      </c>
    </row>
    <row r="50" spans="1:21" ht="31.5" customHeight="1">
      <c r="A50" s="114"/>
      <c r="B50" s="114" t="s">
        <v>443</v>
      </c>
      <c r="C50" s="141" t="s">
        <v>444</v>
      </c>
      <c r="D50" s="132">
        <f t="shared" si="4"/>
        <v>2000000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4">
        <v>2000000</v>
      </c>
      <c r="K50" s="133">
        <v>0</v>
      </c>
      <c r="L50" s="133">
        <v>0</v>
      </c>
      <c r="M50" s="132">
        <f t="shared" si="5"/>
        <v>2000000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4">
        <v>2000000</v>
      </c>
      <c r="T50" s="133">
        <v>0</v>
      </c>
      <c r="U50" s="133">
        <v>0</v>
      </c>
    </row>
    <row r="51" spans="1:21" ht="18">
      <c r="A51" s="114"/>
      <c r="B51" s="114" t="s">
        <v>445</v>
      </c>
      <c r="C51" s="141" t="s">
        <v>446</v>
      </c>
      <c r="D51" s="132">
        <f t="shared" si="4"/>
        <v>3000000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4">
        <v>3000000</v>
      </c>
      <c r="K51" s="133">
        <v>0</v>
      </c>
      <c r="L51" s="133">
        <v>0</v>
      </c>
      <c r="M51" s="132">
        <f t="shared" si="5"/>
        <v>3000000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4">
        <v>3000000</v>
      </c>
      <c r="T51" s="133">
        <v>0</v>
      </c>
      <c r="U51" s="133">
        <v>0</v>
      </c>
    </row>
    <row r="52" spans="1:21" ht="18">
      <c r="A52" s="114"/>
      <c r="B52" s="114" t="s">
        <v>447</v>
      </c>
      <c r="C52" s="141" t="s">
        <v>448</v>
      </c>
      <c r="D52" s="132">
        <f t="shared" si="4"/>
        <v>4000000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4">
        <v>4000000</v>
      </c>
      <c r="K52" s="133">
        <v>0</v>
      </c>
      <c r="L52" s="133">
        <v>0</v>
      </c>
      <c r="M52" s="132">
        <f t="shared" si="5"/>
        <v>4000000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4">
        <v>4000000</v>
      </c>
      <c r="T52" s="133">
        <v>0</v>
      </c>
      <c r="U52" s="133">
        <v>0</v>
      </c>
    </row>
    <row r="53" spans="1:21" ht="18">
      <c r="A53" s="114"/>
      <c r="B53" s="114" t="s">
        <v>449</v>
      </c>
      <c r="C53" s="141" t="s">
        <v>450</v>
      </c>
      <c r="D53" s="132">
        <f t="shared" si="4"/>
        <v>6500000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4">
        <v>6500000</v>
      </c>
      <c r="K53" s="133">
        <v>0</v>
      </c>
      <c r="L53" s="133">
        <v>0</v>
      </c>
      <c r="M53" s="132">
        <f t="shared" si="5"/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4">
        <v>0</v>
      </c>
      <c r="T53" s="133">
        <v>0</v>
      </c>
      <c r="U53" s="133">
        <v>0</v>
      </c>
    </row>
    <row r="54" spans="1:21" ht="18">
      <c r="A54" s="114"/>
      <c r="B54" s="114" t="s">
        <v>451</v>
      </c>
      <c r="C54" s="141" t="s">
        <v>452</v>
      </c>
      <c r="D54" s="132">
        <f t="shared" si="4"/>
        <v>5000000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4">
        <v>5000000</v>
      </c>
      <c r="K54" s="133">
        <v>0</v>
      </c>
      <c r="L54" s="133">
        <v>0</v>
      </c>
      <c r="M54" s="132">
        <f t="shared" si="5"/>
        <v>5000000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4">
        <v>5000000</v>
      </c>
      <c r="T54" s="133">
        <v>0</v>
      </c>
      <c r="U54" s="133">
        <v>0</v>
      </c>
    </row>
    <row r="55" spans="1:21" ht="18">
      <c r="A55" s="114"/>
      <c r="B55" s="114" t="s">
        <v>453</v>
      </c>
      <c r="C55" s="141" t="s">
        <v>454</v>
      </c>
      <c r="D55" s="132">
        <f t="shared" si="4"/>
        <v>3500000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4">
        <v>3500000</v>
      </c>
      <c r="K55" s="133">
        <v>0</v>
      </c>
      <c r="L55" s="133">
        <v>0</v>
      </c>
      <c r="M55" s="132">
        <f t="shared" si="5"/>
        <v>3500000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4">
        <v>3500000</v>
      </c>
      <c r="T55" s="133">
        <v>0</v>
      </c>
      <c r="U55" s="133">
        <v>0</v>
      </c>
    </row>
    <row r="56" spans="1:21" ht="30.75" customHeight="1">
      <c r="A56" s="114"/>
      <c r="B56" s="114" t="s">
        <v>455</v>
      </c>
      <c r="C56" s="125" t="s">
        <v>456</v>
      </c>
      <c r="D56" s="132">
        <f t="shared" si="4"/>
        <v>10000000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4">
        <v>10000000</v>
      </c>
      <c r="K56" s="133">
        <v>0</v>
      </c>
      <c r="L56" s="133">
        <v>0</v>
      </c>
      <c r="M56" s="132">
        <f t="shared" si="5"/>
        <v>10000000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4">
        <v>10000000</v>
      </c>
      <c r="T56" s="133">
        <v>0</v>
      </c>
      <c r="U56" s="133">
        <v>0</v>
      </c>
    </row>
    <row r="57" spans="1:21" ht="34.5" customHeight="1">
      <c r="A57" s="114"/>
      <c r="B57" s="114" t="s">
        <v>457</v>
      </c>
      <c r="C57" s="125" t="s">
        <v>458</v>
      </c>
      <c r="D57" s="132">
        <f t="shared" si="4"/>
        <v>10000000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4">
        <v>10000000</v>
      </c>
      <c r="K57" s="133">
        <v>0</v>
      </c>
      <c r="L57" s="133">
        <v>0</v>
      </c>
      <c r="M57" s="132">
        <f t="shared" si="5"/>
        <v>10000000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4">
        <v>10000000</v>
      </c>
      <c r="T57" s="133">
        <v>0</v>
      </c>
      <c r="U57" s="133">
        <v>0</v>
      </c>
    </row>
    <row r="58" spans="1:21" ht="30.75" customHeight="1">
      <c r="A58" s="114"/>
      <c r="B58" s="114" t="s">
        <v>459</v>
      </c>
      <c r="C58" s="125" t="s">
        <v>460</v>
      </c>
      <c r="D58" s="132">
        <f t="shared" si="4"/>
        <v>20000000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4">
        <v>20000000</v>
      </c>
      <c r="K58" s="133">
        <v>0</v>
      </c>
      <c r="L58" s="133">
        <v>0</v>
      </c>
      <c r="M58" s="132">
        <f t="shared" si="5"/>
        <v>20000000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4">
        <v>20000000</v>
      </c>
      <c r="T58" s="133">
        <v>0</v>
      </c>
      <c r="U58" s="133">
        <v>0</v>
      </c>
    </row>
    <row r="59" spans="1:21" ht="33" customHeight="1">
      <c r="A59" s="114"/>
      <c r="B59" s="114" t="s">
        <v>461</v>
      </c>
      <c r="C59" s="125" t="s">
        <v>462</v>
      </c>
      <c r="D59" s="132">
        <f t="shared" si="4"/>
        <v>20000000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4">
        <v>20000000</v>
      </c>
      <c r="K59" s="133">
        <v>0</v>
      </c>
      <c r="L59" s="133">
        <v>0</v>
      </c>
      <c r="M59" s="132">
        <f t="shared" si="5"/>
        <v>20000000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4">
        <v>20000000</v>
      </c>
      <c r="T59" s="133">
        <v>0</v>
      </c>
      <c r="U59" s="133">
        <v>0</v>
      </c>
    </row>
    <row r="60" spans="1:21" ht="31.5" customHeight="1">
      <c r="A60" s="114"/>
      <c r="B60" s="114" t="s">
        <v>463</v>
      </c>
      <c r="C60" s="125" t="s">
        <v>464</v>
      </c>
      <c r="D60" s="132">
        <f t="shared" si="4"/>
        <v>5000000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4">
        <v>5000000</v>
      </c>
      <c r="K60" s="133">
        <v>0</v>
      </c>
      <c r="L60" s="133">
        <v>0</v>
      </c>
      <c r="M60" s="132">
        <f t="shared" si="5"/>
        <v>5000000</v>
      </c>
      <c r="N60" s="133">
        <v>0</v>
      </c>
      <c r="O60" s="133">
        <v>0</v>
      </c>
      <c r="P60" s="133">
        <v>0</v>
      </c>
      <c r="Q60" s="133">
        <v>0</v>
      </c>
      <c r="R60" s="133">
        <v>0</v>
      </c>
      <c r="S60" s="134">
        <v>5000000</v>
      </c>
      <c r="T60" s="133">
        <v>0</v>
      </c>
      <c r="U60" s="133">
        <v>0</v>
      </c>
    </row>
    <row r="61" spans="1:21" ht="18">
      <c r="A61" s="114"/>
      <c r="B61" s="114" t="s">
        <v>465</v>
      </c>
      <c r="C61" s="125" t="s">
        <v>466</v>
      </c>
      <c r="D61" s="132">
        <f t="shared" si="4"/>
        <v>30000000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4">
        <v>30000000</v>
      </c>
      <c r="K61" s="133">
        <v>0</v>
      </c>
      <c r="L61" s="133">
        <v>0</v>
      </c>
      <c r="M61" s="132">
        <f t="shared" si="5"/>
        <v>30000000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4">
        <v>30000000</v>
      </c>
      <c r="T61" s="133">
        <v>0</v>
      </c>
      <c r="U61" s="133">
        <v>0</v>
      </c>
    </row>
    <row r="62" spans="1:21" ht="30.75" customHeight="1">
      <c r="A62" s="114"/>
      <c r="B62" s="114" t="s">
        <v>467</v>
      </c>
      <c r="C62" s="125" t="s">
        <v>468</v>
      </c>
      <c r="D62" s="132">
        <f t="shared" si="4"/>
        <v>50000000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4">
        <v>50000000</v>
      </c>
      <c r="K62" s="133">
        <v>0</v>
      </c>
      <c r="L62" s="133">
        <v>0</v>
      </c>
      <c r="M62" s="132">
        <f t="shared" si="5"/>
        <v>50000000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4">
        <v>50000000</v>
      </c>
      <c r="T62" s="133">
        <v>0</v>
      </c>
      <c r="U62" s="133">
        <v>0</v>
      </c>
    </row>
    <row r="63" spans="1:21" ht="32.25" customHeight="1">
      <c r="A63" s="114"/>
      <c r="B63" s="114" t="s">
        <v>469</v>
      </c>
      <c r="C63" s="125" t="s">
        <v>470</v>
      </c>
      <c r="D63" s="132">
        <f t="shared" si="4"/>
        <v>30000000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42">
        <v>30000000</v>
      </c>
      <c r="K63" s="133">
        <v>0</v>
      </c>
      <c r="L63" s="133">
        <v>0</v>
      </c>
      <c r="M63" s="132">
        <f t="shared" si="5"/>
        <v>30000000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42">
        <v>30000000</v>
      </c>
      <c r="T63" s="133">
        <v>0</v>
      </c>
      <c r="U63" s="133">
        <v>0</v>
      </c>
    </row>
    <row r="64" spans="1:21" ht="32.25" customHeight="1">
      <c r="A64" s="114"/>
      <c r="B64" s="114" t="s">
        <v>471</v>
      </c>
      <c r="C64" s="125" t="s">
        <v>472</v>
      </c>
      <c r="D64" s="132">
        <f t="shared" si="4"/>
        <v>30000000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42">
        <v>30000000</v>
      </c>
      <c r="K64" s="133">
        <v>0</v>
      </c>
      <c r="L64" s="133">
        <v>0</v>
      </c>
      <c r="M64" s="132">
        <f t="shared" si="5"/>
        <v>30000000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42">
        <v>30000000</v>
      </c>
      <c r="T64" s="133">
        <v>0</v>
      </c>
      <c r="U64" s="133">
        <v>0</v>
      </c>
    </row>
    <row r="65" spans="1:21" ht="32.25" customHeight="1">
      <c r="A65" s="114"/>
      <c r="B65" s="114" t="s">
        <v>473</v>
      </c>
      <c r="C65" s="125" t="s">
        <v>474</v>
      </c>
      <c r="D65" s="132">
        <f t="shared" si="4"/>
        <v>25000000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42">
        <v>25000000</v>
      </c>
      <c r="K65" s="133">
        <v>0</v>
      </c>
      <c r="L65" s="133">
        <v>0</v>
      </c>
      <c r="M65" s="132">
        <f t="shared" si="5"/>
        <v>25000000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42">
        <v>25000000</v>
      </c>
      <c r="T65" s="133">
        <v>0</v>
      </c>
      <c r="U65" s="133">
        <v>0</v>
      </c>
    </row>
    <row r="66" spans="1:21" ht="31.5" customHeight="1">
      <c r="A66" s="114"/>
      <c r="B66" s="114" t="s">
        <v>475</v>
      </c>
      <c r="C66" s="125" t="s">
        <v>476</v>
      </c>
      <c r="D66" s="132">
        <f t="shared" si="4"/>
        <v>70000000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4">
        <v>70000000</v>
      </c>
      <c r="K66" s="133">
        <v>0</v>
      </c>
      <c r="L66" s="133">
        <v>0</v>
      </c>
      <c r="M66" s="132">
        <f t="shared" si="5"/>
        <v>70000000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4">
        <v>70000000</v>
      </c>
      <c r="T66" s="133">
        <v>0</v>
      </c>
      <c r="U66" s="133">
        <v>0</v>
      </c>
    </row>
    <row r="67" spans="1:21" ht="18">
      <c r="A67" s="114"/>
      <c r="B67" s="114" t="s">
        <v>477</v>
      </c>
      <c r="C67" s="125" t="s">
        <v>478</v>
      </c>
      <c r="D67" s="132">
        <f t="shared" si="4"/>
        <v>18000000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4">
        <v>0</v>
      </c>
      <c r="K67" s="134">
        <v>18000000</v>
      </c>
      <c r="L67" s="133">
        <v>0</v>
      </c>
      <c r="M67" s="132">
        <f t="shared" si="5"/>
        <v>18000000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4">
        <v>0</v>
      </c>
      <c r="T67" s="134">
        <v>18000000</v>
      </c>
      <c r="U67" s="133">
        <v>0</v>
      </c>
    </row>
    <row r="68" spans="1:21" ht="30">
      <c r="A68" s="114"/>
      <c r="B68" s="114" t="s">
        <v>479</v>
      </c>
      <c r="C68" s="141" t="s">
        <v>480</v>
      </c>
      <c r="D68" s="132">
        <f t="shared" si="4"/>
        <v>4000000</v>
      </c>
      <c r="E68" s="133">
        <v>0</v>
      </c>
      <c r="F68" s="133">
        <v>0</v>
      </c>
      <c r="G68" s="133">
        <v>0</v>
      </c>
      <c r="H68" s="133">
        <v>0</v>
      </c>
      <c r="I68" s="133">
        <v>0</v>
      </c>
      <c r="J68" s="134">
        <v>0</v>
      </c>
      <c r="K68" s="134">
        <v>4000000</v>
      </c>
      <c r="L68" s="133">
        <v>0</v>
      </c>
      <c r="M68" s="132">
        <f t="shared" si="5"/>
        <v>187523395</v>
      </c>
      <c r="N68" s="133">
        <v>0</v>
      </c>
      <c r="O68" s="133">
        <v>0</v>
      </c>
      <c r="P68" s="133">
        <v>7979670</v>
      </c>
      <c r="Q68" s="133">
        <v>0</v>
      </c>
      <c r="R68" s="133">
        <v>0</v>
      </c>
      <c r="S68" s="134">
        <v>163495624</v>
      </c>
      <c r="T68" s="134">
        <f>18143601-2095500</f>
        <v>16048101</v>
      </c>
      <c r="U68" s="133">
        <v>0</v>
      </c>
    </row>
    <row r="69" spans="1:21" ht="30">
      <c r="A69" s="114"/>
      <c r="B69" s="114" t="s">
        <v>481</v>
      </c>
      <c r="C69" s="141" t="s">
        <v>1127</v>
      </c>
      <c r="D69" s="132">
        <f t="shared" si="4"/>
        <v>8000000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4">
        <v>0</v>
      </c>
      <c r="K69" s="134">
        <v>8000000</v>
      </c>
      <c r="L69" s="133">
        <v>0</v>
      </c>
      <c r="M69" s="132">
        <f t="shared" si="5"/>
        <v>8000000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34">
        <v>0</v>
      </c>
      <c r="T69" s="134">
        <v>8000000</v>
      </c>
      <c r="U69" s="133">
        <v>0</v>
      </c>
    </row>
    <row r="70" spans="1:21" ht="18">
      <c r="A70" s="114"/>
      <c r="B70" s="114" t="s">
        <v>482</v>
      </c>
      <c r="C70" s="141" t="s">
        <v>1128</v>
      </c>
      <c r="D70" s="132">
        <f t="shared" si="4"/>
        <v>7000000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4">
        <v>0</v>
      </c>
      <c r="K70" s="134">
        <v>7000000</v>
      </c>
      <c r="L70" s="133">
        <v>0</v>
      </c>
      <c r="M70" s="132">
        <f t="shared" si="5"/>
        <v>7000000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4">
        <v>0</v>
      </c>
      <c r="T70" s="134">
        <v>7000000</v>
      </c>
      <c r="U70" s="133">
        <v>0</v>
      </c>
    </row>
    <row r="71" spans="1:21" ht="30">
      <c r="A71" s="114"/>
      <c r="B71" s="114" t="s">
        <v>483</v>
      </c>
      <c r="C71" s="141" t="s">
        <v>1129</v>
      </c>
      <c r="D71" s="132">
        <f t="shared" si="4"/>
        <v>10000000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4">
        <v>0</v>
      </c>
      <c r="K71" s="134">
        <v>10000000</v>
      </c>
      <c r="L71" s="133">
        <v>0</v>
      </c>
      <c r="M71" s="132">
        <f t="shared" si="5"/>
        <v>10000000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4">
        <v>0</v>
      </c>
      <c r="T71" s="134">
        <v>10000000</v>
      </c>
      <c r="U71" s="133">
        <v>0</v>
      </c>
    </row>
    <row r="72" spans="1:21" ht="18">
      <c r="A72" s="114"/>
      <c r="B72" s="114" t="s">
        <v>484</v>
      </c>
      <c r="C72" s="125" t="s">
        <v>1130</v>
      </c>
      <c r="D72" s="132">
        <f t="shared" si="4"/>
        <v>45000000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4">
        <v>0</v>
      </c>
      <c r="K72" s="134">
        <v>45000000</v>
      </c>
      <c r="L72" s="133">
        <v>0</v>
      </c>
      <c r="M72" s="132">
        <f t="shared" si="5"/>
        <v>45000000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4">
        <v>0</v>
      </c>
      <c r="T72" s="134">
        <v>45000000</v>
      </c>
      <c r="U72" s="133">
        <v>0</v>
      </c>
    </row>
    <row r="73" spans="1:21" ht="25.5" customHeight="1">
      <c r="A73" s="114"/>
      <c r="B73" s="114" t="s">
        <v>485</v>
      </c>
      <c r="C73" s="125" t="s">
        <v>1131</v>
      </c>
      <c r="D73" s="132">
        <f t="shared" si="4"/>
        <v>8000000</v>
      </c>
      <c r="E73" s="133">
        <v>0</v>
      </c>
      <c r="F73" s="133">
        <v>0</v>
      </c>
      <c r="G73" s="133">
        <v>0</v>
      </c>
      <c r="H73" s="133">
        <v>0</v>
      </c>
      <c r="I73" s="133">
        <v>0</v>
      </c>
      <c r="J73" s="134">
        <v>0</v>
      </c>
      <c r="K73" s="134">
        <v>8000000</v>
      </c>
      <c r="L73" s="133">
        <v>0</v>
      </c>
      <c r="M73" s="132">
        <f t="shared" si="5"/>
        <v>8000000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34">
        <v>0</v>
      </c>
      <c r="T73" s="134">
        <v>8000000</v>
      </c>
      <c r="U73" s="133">
        <v>0</v>
      </c>
    </row>
    <row r="74" spans="1:21" ht="18">
      <c r="A74" s="114"/>
      <c r="B74" s="114" t="s">
        <v>486</v>
      </c>
      <c r="C74" s="125" t="s">
        <v>487</v>
      </c>
      <c r="D74" s="132">
        <f aca="true" t="shared" si="6" ref="D74:D105">SUM(E74:L74)</f>
        <v>22000000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9">
        <v>22000000</v>
      </c>
      <c r="K74" s="133">
        <v>0</v>
      </c>
      <c r="L74" s="133">
        <v>0</v>
      </c>
      <c r="M74" s="132">
        <f aca="true" t="shared" si="7" ref="M74:M105">SUM(N74:U74)</f>
        <v>22000000</v>
      </c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9">
        <v>22000000</v>
      </c>
      <c r="T74" s="133">
        <v>0</v>
      </c>
      <c r="U74" s="133">
        <v>0</v>
      </c>
    </row>
    <row r="75" spans="1:21" ht="30" customHeight="1">
      <c r="A75" s="114"/>
      <c r="B75" s="114" t="s">
        <v>488</v>
      </c>
      <c r="C75" s="125" t="s">
        <v>489</v>
      </c>
      <c r="D75" s="132">
        <f t="shared" si="6"/>
        <v>15000000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9">
        <v>15000000</v>
      </c>
      <c r="K75" s="133">
        <v>0</v>
      </c>
      <c r="L75" s="133">
        <v>0</v>
      </c>
      <c r="M75" s="132">
        <f t="shared" si="7"/>
        <v>15000000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39">
        <v>15000000</v>
      </c>
      <c r="T75" s="133">
        <v>0</v>
      </c>
      <c r="U75" s="133">
        <v>0</v>
      </c>
    </row>
    <row r="76" spans="1:21" ht="30" customHeight="1">
      <c r="A76" s="114"/>
      <c r="B76" s="114" t="s">
        <v>490</v>
      </c>
      <c r="C76" s="141" t="s">
        <v>491</v>
      </c>
      <c r="D76" s="132">
        <f t="shared" si="6"/>
        <v>3000000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42">
        <v>3000000</v>
      </c>
      <c r="K76" s="133">
        <v>0</v>
      </c>
      <c r="L76" s="133">
        <v>0</v>
      </c>
      <c r="M76" s="132">
        <f t="shared" si="7"/>
        <v>3680000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42">
        <v>3680000</v>
      </c>
      <c r="T76" s="133">
        <v>0</v>
      </c>
      <c r="U76" s="133">
        <v>0</v>
      </c>
    </row>
    <row r="77" spans="1:21" ht="36" customHeight="1">
      <c r="A77" s="114"/>
      <c r="B77" s="114" t="s">
        <v>492</v>
      </c>
      <c r="C77" s="141" t="s">
        <v>493</v>
      </c>
      <c r="D77" s="132">
        <f t="shared" si="6"/>
        <v>1500000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42">
        <v>1500000</v>
      </c>
      <c r="K77" s="133">
        <v>0</v>
      </c>
      <c r="L77" s="133">
        <v>0</v>
      </c>
      <c r="M77" s="132">
        <f t="shared" si="7"/>
        <v>1500000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42">
        <v>1500000</v>
      </c>
      <c r="T77" s="133">
        <v>0</v>
      </c>
      <c r="U77" s="133">
        <v>0</v>
      </c>
    </row>
    <row r="78" spans="1:21" ht="33.75" customHeight="1">
      <c r="A78" s="114"/>
      <c r="B78" s="114" t="s">
        <v>494</v>
      </c>
      <c r="C78" s="141" t="s">
        <v>495</v>
      </c>
      <c r="D78" s="132">
        <f t="shared" si="6"/>
        <v>4000000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42">
        <v>4000000</v>
      </c>
      <c r="K78" s="133">
        <v>0</v>
      </c>
      <c r="L78" s="133">
        <v>0</v>
      </c>
      <c r="M78" s="132">
        <f t="shared" si="7"/>
        <v>4000000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42">
        <v>4000000</v>
      </c>
      <c r="T78" s="133">
        <v>0</v>
      </c>
      <c r="U78" s="133">
        <v>0</v>
      </c>
    </row>
    <row r="79" spans="1:21" ht="30.75" customHeight="1">
      <c r="A79" s="114"/>
      <c r="B79" s="114" t="s">
        <v>496</v>
      </c>
      <c r="C79" s="141" t="s">
        <v>497</v>
      </c>
      <c r="D79" s="132">
        <f t="shared" si="6"/>
        <v>3000000</v>
      </c>
      <c r="E79" s="133">
        <v>0</v>
      </c>
      <c r="F79" s="133">
        <v>0</v>
      </c>
      <c r="G79" s="133">
        <v>0</v>
      </c>
      <c r="H79" s="133">
        <v>0</v>
      </c>
      <c r="I79" s="133">
        <v>0</v>
      </c>
      <c r="J79" s="142">
        <v>3000000</v>
      </c>
      <c r="K79" s="133">
        <v>0</v>
      </c>
      <c r="L79" s="133">
        <v>0</v>
      </c>
      <c r="M79" s="132">
        <f t="shared" si="7"/>
        <v>3000000</v>
      </c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42">
        <v>3000000</v>
      </c>
      <c r="T79" s="133">
        <v>0</v>
      </c>
      <c r="U79" s="133">
        <v>0</v>
      </c>
    </row>
    <row r="80" spans="1:21" ht="32.25" customHeight="1">
      <c r="A80" s="114"/>
      <c r="B80" s="114" t="s">
        <v>498</v>
      </c>
      <c r="C80" s="141" t="s">
        <v>499</v>
      </c>
      <c r="D80" s="132">
        <f t="shared" si="6"/>
        <v>2000000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42">
        <v>2000000</v>
      </c>
      <c r="K80" s="133">
        <v>0</v>
      </c>
      <c r="L80" s="133">
        <v>0</v>
      </c>
      <c r="M80" s="132">
        <f t="shared" si="7"/>
        <v>2980000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42">
        <v>2980000</v>
      </c>
      <c r="T80" s="133">
        <v>0</v>
      </c>
      <c r="U80" s="133">
        <v>0</v>
      </c>
    </row>
    <row r="81" spans="1:21" ht="30" customHeight="1">
      <c r="A81" s="114"/>
      <c r="B81" s="114" t="s">
        <v>500</v>
      </c>
      <c r="C81" s="141" t="s">
        <v>501</v>
      </c>
      <c r="D81" s="132">
        <f t="shared" si="6"/>
        <v>2000000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42">
        <v>2000000</v>
      </c>
      <c r="K81" s="133">
        <v>0</v>
      </c>
      <c r="L81" s="133">
        <v>0</v>
      </c>
      <c r="M81" s="132">
        <f t="shared" si="7"/>
        <v>2000000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42">
        <v>2000000</v>
      </c>
      <c r="T81" s="133">
        <v>0</v>
      </c>
      <c r="U81" s="133">
        <v>0</v>
      </c>
    </row>
    <row r="82" spans="1:21" ht="30" customHeight="1">
      <c r="A82" s="114"/>
      <c r="B82" s="114" t="s">
        <v>502</v>
      </c>
      <c r="C82" s="141" t="s">
        <v>503</v>
      </c>
      <c r="D82" s="132">
        <f t="shared" si="6"/>
        <v>2500000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42">
        <v>2500000</v>
      </c>
      <c r="K82" s="133">
        <v>0</v>
      </c>
      <c r="L82" s="133">
        <v>0</v>
      </c>
      <c r="M82" s="132">
        <f t="shared" si="7"/>
        <v>2500000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42">
        <v>2500000</v>
      </c>
      <c r="T82" s="133">
        <v>0</v>
      </c>
      <c r="U82" s="133">
        <v>0</v>
      </c>
    </row>
    <row r="83" spans="1:21" ht="30.75" customHeight="1">
      <c r="A83" s="114"/>
      <c r="B83" s="114" t="s">
        <v>504</v>
      </c>
      <c r="C83" s="141" t="s">
        <v>505</v>
      </c>
      <c r="D83" s="132">
        <f t="shared" si="6"/>
        <v>1500000</v>
      </c>
      <c r="E83" s="133">
        <v>0</v>
      </c>
      <c r="F83" s="133">
        <v>0</v>
      </c>
      <c r="G83" s="133">
        <v>0</v>
      </c>
      <c r="H83" s="133">
        <v>0</v>
      </c>
      <c r="I83" s="133">
        <v>0</v>
      </c>
      <c r="J83" s="142">
        <v>1500000</v>
      </c>
      <c r="K83" s="133">
        <v>0</v>
      </c>
      <c r="L83" s="133">
        <v>0</v>
      </c>
      <c r="M83" s="132">
        <f t="shared" si="7"/>
        <v>1500000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42">
        <v>1500000</v>
      </c>
      <c r="T83" s="133">
        <v>0</v>
      </c>
      <c r="U83" s="133">
        <v>0</v>
      </c>
    </row>
    <row r="84" spans="1:21" ht="33.75" customHeight="1">
      <c r="A84" s="114"/>
      <c r="B84" s="114" t="s">
        <v>506</v>
      </c>
      <c r="C84" s="141" t="s">
        <v>507</v>
      </c>
      <c r="D84" s="132">
        <f t="shared" si="6"/>
        <v>2000000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42">
        <v>2000000</v>
      </c>
      <c r="K84" s="133">
        <v>0</v>
      </c>
      <c r="L84" s="133">
        <v>0</v>
      </c>
      <c r="M84" s="132">
        <f t="shared" si="7"/>
        <v>2000000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42">
        <v>2000000</v>
      </c>
      <c r="T84" s="133">
        <v>0</v>
      </c>
      <c r="U84" s="133">
        <v>0</v>
      </c>
    </row>
    <row r="85" spans="1:21" ht="32.25" customHeight="1">
      <c r="A85" s="114"/>
      <c r="B85" s="114" t="s">
        <v>508</v>
      </c>
      <c r="C85" s="141" t="s">
        <v>509</v>
      </c>
      <c r="D85" s="132">
        <f t="shared" si="6"/>
        <v>2500000</v>
      </c>
      <c r="E85" s="133">
        <v>0</v>
      </c>
      <c r="F85" s="133">
        <v>0</v>
      </c>
      <c r="G85" s="133">
        <v>0</v>
      </c>
      <c r="H85" s="133">
        <v>0</v>
      </c>
      <c r="I85" s="133">
        <v>0</v>
      </c>
      <c r="J85" s="142">
        <v>2500000</v>
      </c>
      <c r="K85" s="133">
        <v>0</v>
      </c>
      <c r="L85" s="133">
        <v>0</v>
      </c>
      <c r="M85" s="132">
        <f t="shared" si="7"/>
        <v>2500000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42">
        <v>2500000</v>
      </c>
      <c r="T85" s="133">
        <v>0</v>
      </c>
      <c r="U85" s="133">
        <v>0</v>
      </c>
    </row>
    <row r="86" spans="1:21" ht="36.75" customHeight="1">
      <c r="A86" s="114"/>
      <c r="B86" s="114" t="s">
        <v>510</v>
      </c>
      <c r="C86" s="141" t="s">
        <v>511</v>
      </c>
      <c r="D86" s="132">
        <f t="shared" si="6"/>
        <v>3000000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42">
        <v>3000000</v>
      </c>
      <c r="K86" s="133">
        <v>0</v>
      </c>
      <c r="L86" s="133">
        <v>0</v>
      </c>
      <c r="M86" s="132">
        <f t="shared" si="7"/>
        <v>3000000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42">
        <v>3000000</v>
      </c>
      <c r="T86" s="133">
        <v>0</v>
      </c>
      <c r="U86" s="133">
        <v>0</v>
      </c>
    </row>
    <row r="87" spans="1:21" ht="18">
      <c r="A87" s="114"/>
      <c r="B87" s="114" t="s">
        <v>512</v>
      </c>
      <c r="C87" s="141" t="s">
        <v>513</v>
      </c>
      <c r="D87" s="132">
        <f t="shared" si="6"/>
        <v>18500000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42">
        <v>0</v>
      </c>
      <c r="K87" s="133">
        <v>18500000</v>
      </c>
      <c r="L87" s="133">
        <v>0</v>
      </c>
      <c r="M87" s="132">
        <f t="shared" si="7"/>
        <v>18500000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42">
        <v>0</v>
      </c>
      <c r="T87" s="133">
        <v>18500000</v>
      </c>
      <c r="U87" s="133">
        <v>0</v>
      </c>
    </row>
    <row r="88" spans="1:21" ht="18">
      <c r="A88" s="114"/>
      <c r="B88" s="114" t="s">
        <v>514</v>
      </c>
      <c r="C88" s="125" t="s">
        <v>515</v>
      </c>
      <c r="D88" s="132">
        <f t="shared" si="6"/>
        <v>20000000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4">
        <v>20000000</v>
      </c>
      <c r="K88" s="133">
        <v>0</v>
      </c>
      <c r="L88" s="133">
        <v>0</v>
      </c>
      <c r="M88" s="132">
        <f t="shared" si="7"/>
        <v>61000000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4">
        <v>61000000</v>
      </c>
      <c r="T88" s="133">
        <v>0</v>
      </c>
      <c r="U88" s="133">
        <v>0</v>
      </c>
    </row>
    <row r="89" spans="1:21" ht="18">
      <c r="A89" s="114"/>
      <c r="B89" s="114" t="s">
        <v>516</v>
      </c>
      <c r="C89" s="125" t="s">
        <v>517</v>
      </c>
      <c r="D89" s="132">
        <f t="shared" si="6"/>
        <v>50000000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9">
        <v>50000000</v>
      </c>
      <c r="K89" s="133">
        <v>0</v>
      </c>
      <c r="L89" s="133">
        <v>0</v>
      </c>
      <c r="M89" s="132">
        <f t="shared" si="7"/>
        <v>50000000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9">
        <v>50000000</v>
      </c>
      <c r="T89" s="133">
        <v>0</v>
      </c>
      <c r="U89" s="133">
        <v>0</v>
      </c>
    </row>
    <row r="90" spans="1:21" ht="18">
      <c r="A90" s="114"/>
      <c r="B90" s="114" t="s">
        <v>518</v>
      </c>
      <c r="C90" s="125" t="s">
        <v>519</v>
      </c>
      <c r="D90" s="132">
        <f t="shared" si="6"/>
        <v>30000000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9">
        <v>0</v>
      </c>
      <c r="K90" s="133">
        <v>30000000</v>
      </c>
      <c r="L90" s="133">
        <v>0</v>
      </c>
      <c r="M90" s="132">
        <f t="shared" si="7"/>
        <v>30000000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9">
        <v>0</v>
      </c>
      <c r="T90" s="133">
        <v>30000000</v>
      </c>
      <c r="U90" s="133">
        <v>0</v>
      </c>
    </row>
    <row r="91" spans="1:21" ht="30" customHeight="1">
      <c r="A91" s="114"/>
      <c r="B91" s="114" t="s">
        <v>520</v>
      </c>
      <c r="C91" s="143" t="s">
        <v>521</v>
      </c>
      <c r="D91" s="132">
        <f t="shared" si="6"/>
        <v>15000000</v>
      </c>
      <c r="E91" s="133">
        <v>0</v>
      </c>
      <c r="F91" s="133">
        <v>0</v>
      </c>
      <c r="G91" s="133">
        <v>15000000</v>
      </c>
      <c r="H91" s="133">
        <v>0</v>
      </c>
      <c r="I91" s="133">
        <v>0</v>
      </c>
      <c r="J91" s="142">
        <v>0</v>
      </c>
      <c r="K91" s="133">
        <v>0</v>
      </c>
      <c r="L91" s="133">
        <v>0</v>
      </c>
      <c r="M91" s="132">
        <f t="shared" si="7"/>
        <v>15045786</v>
      </c>
      <c r="N91" s="133">
        <v>0</v>
      </c>
      <c r="O91" s="133">
        <v>0</v>
      </c>
      <c r="P91" s="133">
        <f>14848876-984250</f>
        <v>13864626</v>
      </c>
      <c r="Q91" s="133">
        <v>0</v>
      </c>
      <c r="R91" s="133">
        <v>0</v>
      </c>
      <c r="S91" s="142">
        <f>196910+984250</f>
        <v>1181160</v>
      </c>
      <c r="T91" s="133">
        <v>0</v>
      </c>
      <c r="U91" s="133">
        <v>0</v>
      </c>
    </row>
    <row r="92" spans="1:21" ht="18">
      <c r="A92" s="114"/>
      <c r="B92" s="114" t="s">
        <v>522</v>
      </c>
      <c r="C92" s="143" t="s">
        <v>523</v>
      </c>
      <c r="D92" s="132">
        <f t="shared" si="6"/>
        <v>108000000</v>
      </c>
      <c r="E92" s="133">
        <v>0</v>
      </c>
      <c r="F92" s="133">
        <v>0</v>
      </c>
      <c r="G92" s="133">
        <v>20000000</v>
      </c>
      <c r="H92" s="133">
        <v>0</v>
      </c>
      <c r="I92" s="133">
        <v>0</v>
      </c>
      <c r="J92" s="142">
        <v>88000000</v>
      </c>
      <c r="K92" s="133">
        <v>0</v>
      </c>
      <c r="L92" s="133">
        <v>0</v>
      </c>
      <c r="M92" s="132">
        <f t="shared" si="7"/>
        <v>101290235</v>
      </c>
      <c r="N92" s="133">
        <v>0</v>
      </c>
      <c r="O92" s="133">
        <v>0</v>
      </c>
      <c r="P92" s="133">
        <v>27790515</v>
      </c>
      <c r="Q92" s="133">
        <v>0</v>
      </c>
      <c r="R92" s="133">
        <v>0</v>
      </c>
      <c r="S92" s="142">
        <v>69009534</v>
      </c>
      <c r="T92" s="133">
        <v>3143250</v>
      </c>
      <c r="U92" s="133">
        <v>1346936</v>
      </c>
    </row>
    <row r="93" spans="1:21" ht="18">
      <c r="A93" s="114"/>
      <c r="B93" s="114" t="s">
        <v>524</v>
      </c>
      <c r="C93" s="143" t="s">
        <v>525</v>
      </c>
      <c r="D93" s="132">
        <f t="shared" si="6"/>
        <v>6000000</v>
      </c>
      <c r="E93" s="133">
        <v>0</v>
      </c>
      <c r="F93" s="133">
        <v>0</v>
      </c>
      <c r="G93" s="133">
        <v>0</v>
      </c>
      <c r="H93" s="133">
        <v>0</v>
      </c>
      <c r="I93" s="133">
        <v>0</v>
      </c>
      <c r="J93" s="142">
        <v>6000000</v>
      </c>
      <c r="K93" s="133">
        <v>0</v>
      </c>
      <c r="L93" s="133">
        <v>0</v>
      </c>
      <c r="M93" s="132">
        <f t="shared" si="7"/>
        <v>7000000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42">
        <v>7000000</v>
      </c>
      <c r="T93" s="133">
        <v>0</v>
      </c>
      <c r="U93" s="133">
        <v>0</v>
      </c>
    </row>
    <row r="94" spans="1:21" ht="30" customHeight="1">
      <c r="A94" s="114"/>
      <c r="B94" s="114" t="s">
        <v>526</v>
      </c>
      <c r="C94" s="143" t="s">
        <v>527</v>
      </c>
      <c r="D94" s="132">
        <f t="shared" si="6"/>
        <v>50000000</v>
      </c>
      <c r="E94" s="133">
        <v>0</v>
      </c>
      <c r="F94" s="133">
        <v>0</v>
      </c>
      <c r="G94" s="133">
        <v>0</v>
      </c>
      <c r="H94" s="133">
        <v>0</v>
      </c>
      <c r="I94" s="133">
        <v>0</v>
      </c>
      <c r="J94" s="142">
        <v>50000000</v>
      </c>
      <c r="K94" s="133">
        <v>0</v>
      </c>
      <c r="L94" s="133">
        <v>0</v>
      </c>
      <c r="M94" s="132">
        <f t="shared" si="7"/>
        <v>50000000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42">
        <v>50000000</v>
      </c>
      <c r="T94" s="133">
        <v>0</v>
      </c>
      <c r="U94" s="133">
        <v>0</v>
      </c>
    </row>
    <row r="95" spans="1:21" ht="18">
      <c r="A95" s="114"/>
      <c r="B95" s="114" t="s">
        <v>528</v>
      </c>
      <c r="C95" s="141" t="s">
        <v>529</v>
      </c>
      <c r="D95" s="132">
        <f t="shared" si="6"/>
        <v>5000000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42">
        <v>5000000</v>
      </c>
      <c r="K95" s="133">
        <v>0</v>
      </c>
      <c r="L95" s="133">
        <v>0</v>
      </c>
      <c r="M95" s="132">
        <f t="shared" si="7"/>
        <v>5000000</v>
      </c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42">
        <v>5000000</v>
      </c>
      <c r="T95" s="133">
        <v>0</v>
      </c>
      <c r="U95" s="133">
        <v>0</v>
      </c>
    </row>
    <row r="96" spans="1:21" ht="33" customHeight="1">
      <c r="A96" s="114"/>
      <c r="B96" s="114" t="s">
        <v>530</v>
      </c>
      <c r="C96" s="144" t="s">
        <v>531</v>
      </c>
      <c r="D96" s="132">
        <f t="shared" si="6"/>
        <v>35000000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42">
        <v>35000000</v>
      </c>
      <c r="K96" s="133">
        <v>0</v>
      </c>
      <c r="L96" s="133">
        <v>0</v>
      </c>
      <c r="M96" s="132">
        <f t="shared" si="7"/>
        <v>35000000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42">
        <v>35000000</v>
      </c>
      <c r="T96" s="133">
        <v>0</v>
      </c>
      <c r="U96" s="133">
        <v>0</v>
      </c>
    </row>
    <row r="97" spans="1:21" ht="40.5" customHeight="1">
      <c r="A97" s="114"/>
      <c r="B97" s="114" t="s">
        <v>532</v>
      </c>
      <c r="C97" s="144" t="s">
        <v>533</v>
      </c>
      <c r="D97" s="132">
        <f t="shared" si="6"/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42">
        <v>0</v>
      </c>
      <c r="K97" s="133">
        <v>0</v>
      </c>
      <c r="L97" s="133">
        <v>0</v>
      </c>
      <c r="M97" s="132">
        <f t="shared" si="7"/>
        <v>10000000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42">
        <v>10000000</v>
      </c>
      <c r="T97" s="133">
        <v>0</v>
      </c>
      <c r="U97" s="133">
        <v>0</v>
      </c>
    </row>
    <row r="98" spans="1:21" ht="30.75" customHeight="1">
      <c r="A98" s="114"/>
      <c r="B98" s="114" t="s">
        <v>534</v>
      </c>
      <c r="C98" s="144" t="s">
        <v>535</v>
      </c>
      <c r="D98" s="132">
        <f t="shared" si="6"/>
        <v>61000000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42">
        <v>61000000</v>
      </c>
      <c r="K98" s="133">
        <v>0</v>
      </c>
      <c r="L98" s="133">
        <v>0</v>
      </c>
      <c r="M98" s="132">
        <f t="shared" si="7"/>
        <v>63234574</v>
      </c>
      <c r="N98" s="133">
        <v>0</v>
      </c>
      <c r="O98" s="133">
        <v>0</v>
      </c>
      <c r="P98" s="133">
        <v>3594353</v>
      </c>
      <c r="Q98" s="133">
        <v>0</v>
      </c>
      <c r="R98" s="133">
        <v>0</v>
      </c>
      <c r="S98" s="142">
        <v>59640221</v>
      </c>
      <c r="T98" s="133">
        <v>0</v>
      </c>
      <c r="U98" s="133">
        <v>0</v>
      </c>
    </row>
    <row r="99" spans="1:21" ht="33" customHeight="1">
      <c r="A99" s="114"/>
      <c r="B99" s="114" t="s">
        <v>536</v>
      </c>
      <c r="C99" s="144" t="s">
        <v>537</v>
      </c>
      <c r="D99" s="132">
        <f t="shared" si="6"/>
        <v>15000000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42">
        <v>15000000</v>
      </c>
      <c r="K99" s="133">
        <v>0</v>
      </c>
      <c r="L99" s="133">
        <v>0</v>
      </c>
      <c r="M99" s="132">
        <f t="shared" si="7"/>
        <v>15000000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42">
        <v>15000000</v>
      </c>
      <c r="T99" s="133">
        <v>0</v>
      </c>
      <c r="U99" s="133">
        <v>0</v>
      </c>
    </row>
    <row r="100" spans="1:21" ht="33" customHeight="1">
      <c r="A100" s="114"/>
      <c r="B100" s="114" t="s">
        <v>538</v>
      </c>
      <c r="C100" s="144" t="s">
        <v>539</v>
      </c>
      <c r="D100" s="132">
        <f t="shared" si="6"/>
        <v>65000000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42">
        <v>65000000</v>
      </c>
      <c r="K100" s="133">
        <v>0</v>
      </c>
      <c r="L100" s="133">
        <v>0</v>
      </c>
      <c r="M100" s="132">
        <f t="shared" si="7"/>
        <v>65000000</v>
      </c>
      <c r="N100" s="133">
        <v>0</v>
      </c>
      <c r="O100" s="133">
        <v>0</v>
      </c>
      <c r="P100" s="133">
        <v>0</v>
      </c>
      <c r="Q100" s="133">
        <v>0</v>
      </c>
      <c r="R100" s="133">
        <v>0</v>
      </c>
      <c r="S100" s="142">
        <v>65000000</v>
      </c>
      <c r="T100" s="133">
        <v>0</v>
      </c>
      <c r="U100" s="133">
        <v>0</v>
      </c>
    </row>
    <row r="101" spans="1:21" ht="30.75" customHeight="1">
      <c r="A101" s="114"/>
      <c r="B101" s="114" t="s">
        <v>540</v>
      </c>
      <c r="C101" s="144" t="s">
        <v>541</v>
      </c>
      <c r="D101" s="132">
        <f t="shared" si="6"/>
        <v>5000000</v>
      </c>
      <c r="E101" s="133">
        <v>0</v>
      </c>
      <c r="F101" s="133">
        <v>0</v>
      </c>
      <c r="G101" s="133">
        <v>0</v>
      </c>
      <c r="H101" s="133">
        <v>0</v>
      </c>
      <c r="I101" s="133">
        <v>0</v>
      </c>
      <c r="J101" s="142">
        <v>0</v>
      </c>
      <c r="K101" s="133">
        <v>5000000</v>
      </c>
      <c r="L101" s="133">
        <v>0</v>
      </c>
      <c r="M101" s="132">
        <f t="shared" si="7"/>
        <v>5000000</v>
      </c>
      <c r="N101" s="133">
        <v>0</v>
      </c>
      <c r="O101" s="133">
        <v>0</v>
      </c>
      <c r="P101" s="133">
        <v>50000</v>
      </c>
      <c r="Q101" s="133">
        <v>0</v>
      </c>
      <c r="R101" s="133">
        <v>0</v>
      </c>
      <c r="S101" s="142">
        <v>0</v>
      </c>
      <c r="T101" s="133">
        <v>4950000</v>
      </c>
      <c r="U101" s="133">
        <v>0</v>
      </c>
    </row>
    <row r="102" spans="1:21" ht="30.75" customHeight="1">
      <c r="A102" s="114"/>
      <c r="B102" s="114" t="s">
        <v>542</v>
      </c>
      <c r="C102" s="144" t="s">
        <v>543</v>
      </c>
      <c r="D102" s="132">
        <f t="shared" si="6"/>
        <v>12000000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42">
        <v>12000000</v>
      </c>
      <c r="K102" s="133">
        <v>0</v>
      </c>
      <c r="L102" s="133">
        <v>0</v>
      </c>
      <c r="M102" s="132">
        <f t="shared" si="7"/>
        <v>12000000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42">
        <v>12000000</v>
      </c>
      <c r="T102" s="133">
        <v>0</v>
      </c>
      <c r="U102" s="133">
        <v>0</v>
      </c>
    </row>
    <row r="103" spans="1:21" ht="30.75" customHeight="1">
      <c r="A103" s="114"/>
      <c r="B103" s="114" t="s">
        <v>544</v>
      </c>
      <c r="C103" s="144" t="s">
        <v>545</v>
      </c>
      <c r="D103" s="132">
        <f t="shared" si="6"/>
        <v>55000000</v>
      </c>
      <c r="E103" s="133">
        <v>0</v>
      </c>
      <c r="F103" s="133">
        <v>0</v>
      </c>
      <c r="G103" s="133">
        <v>0</v>
      </c>
      <c r="H103" s="133">
        <v>0</v>
      </c>
      <c r="I103" s="133">
        <v>0</v>
      </c>
      <c r="J103" s="142">
        <v>55000000</v>
      </c>
      <c r="K103" s="133">
        <v>0</v>
      </c>
      <c r="L103" s="133">
        <v>0</v>
      </c>
      <c r="M103" s="132">
        <f t="shared" si="7"/>
        <v>55000000</v>
      </c>
      <c r="N103" s="133">
        <v>0</v>
      </c>
      <c r="O103" s="133">
        <v>0</v>
      </c>
      <c r="P103" s="133">
        <v>0</v>
      </c>
      <c r="Q103" s="133">
        <v>0</v>
      </c>
      <c r="R103" s="133">
        <v>0</v>
      </c>
      <c r="S103" s="142">
        <v>55000000</v>
      </c>
      <c r="T103" s="133">
        <v>0</v>
      </c>
      <c r="U103" s="133">
        <v>0</v>
      </c>
    </row>
    <row r="104" spans="1:21" ht="30.75" customHeight="1">
      <c r="A104" s="114"/>
      <c r="B104" s="114" t="s">
        <v>546</v>
      </c>
      <c r="C104" s="144" t="s">
        <v>547</v>
      </c>
      <c r="D104" s="132">
        <f t="shared" si="6"/>
        <v>20000000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42">
        <v>20000000</v>
      </c>
      <c r="K104" s="133">
        <v>0</v>
      </c>
      <c r="L104" s="133">
        <v>0</v>
      </c>
      <c r="M104" s="132">
        <f t="shared" si="7"/>
        <v>20000000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42">
        <v>20000000</v>
      </c>
      <c r="T104" s="133">
        <v>0</v>
      </c>
      <c r="U104" s="133">
        <v>0</v>
      </c>
    </row>
    <row r="105" spans="1:21" ht="30.75" customHeight="1">
      <c r="A105" s="114"/>
      <c r="B105" s="114" t="s">
        <v>548</v>
      </c>
      <c r="C105" s="144" t="s">
        <v>549</v>
      </c>
      <c r="D105" s="132">
        <f t="shared" si="6"/>
        <v>10000000</v>
      </c>
      <c r="E105" s="133">
        <v>0</v>
      </c>
      <c r="F105" s="133">
        <v>0</v>
      </c>
      <c r="G105" s="133">
        <v>0</v>
      </c>
      <c r="H105" s="133">
        <v>0</v>
      </c>
      <c r="I105" s="133">
        <v>0</v>
      </c>
      <c r="J105" s="142">
        <v>10000000</v>
      </c>
      <c r="K105" s="133">
        <v>0</v>
      </c>
      <c r="L105" s="133">
        <v>0</v>
      </c>
      <c r="M105" s="132">
        <f t="shared" si="7"/>
        <v>10000000</v>
      </c>
      <c r="N105" s="133">
        <v>0</v>
      </c>
      <c r="O105" s="133">
        <v>0</v>
      </c>
      <c r="P105" s="133">
        <v>0</v>
      </c>
      <c r="Q105" s="133">
        <v>0</v>
      </c>
      <c r="R105" s="133">
        <v>0</v>
      </c>
      <c r="S105" s="142">
        <v>10000000</v>
      </c>
      <c r="T105" s="133">
        <v>0</v>
      </c>
      <c r="U105" s="133">
        <v>0</v>
      </c>
    </row>
    <row r="106" spans="1:21" ht="30.75" customHeight="1">
      <c r="A106" s="114"/>
      <c r="B106" s="114" t="s">
        <v>550</v>
      </c>
      <c r="C106" s="144" t="s">
        <v>551</v>
      </c>
      <c r="D106" s="132">
        <f aca="true" t="shared" si="8" ref="D106:D141">SUM(E106:L106)</f>
        <v>8000000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42">
        <v>8000000</v>
      </c>
      <c r="K106" s="133">
        <v>0</v>
      </c>
      <c r="L106" s="133">
        <v>0</v>
      </c>
      <c r="M106" s="132">
        <f aca="true" t="shared" si="9" ref="M106:M141">SUM(N106:U106)</f>
        <v>8000000</v>
      </c>
      <c r="N106" s="133">
        <v>0</v>
      </c>
      <c r="O106" s="133">
        <v>0</v>
      </c>
      <c r="P106" s="133">
        <v>0</v>
      </c>
      <c r="Q106" s="133">
        <v>0</v>
      </c>
      <c r="R106" s="133">
        <v>0</v>
      </c>
      <c r="S106" s="142">
        <v>8000000</v>
      </c>
      <c r="T106" s="133">
        <v>0</v>
      </c>
      <c r="U106" s="133">
        <v>0</v>
      </c>
    </row>
    <row r="107" spans="1:21" ht="30.75" customHeight="1">
      <c r="A107" s="114"/>
      <c r="B107" s="114" t="s">
        <v>552</v>
      </c>
      <c r="C107" s="144" t="s">
        <v>553</v>
      </c>
      <c r="D107" s="132">
        <f t="shared" si="8"/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42">
        <v>0</v>
      </c>
      <c r="K107" s="133">
        <v>0</v>
      </c>
      <c r="L107" s="133">
        <v>0</v>
      </c>
      <c r="M107" s="132">
        <f t="shared" si="9"/>
        <v>0</v>
      </c>
      <c r="N107" s="133">
        <v>0</v>
      </c>
      <c r="O107" s="133">
        <v>0</v>
      </c>
      <c r="P107" s="133">
        <v>0</v>
      </c>
      <c r="Q107" s="133">
        <v>0</v>
      </c>
      <c r="R107" s="133">
        <v>0</v>
      </c>
      <c r="S107" s="142">
        <v>0</v>
      </c>
      <c r="T107" s="133">
        <v>0</v>
      </c>
      <c r="U107" s="133">
        <v>0</v>
      </c>
    </row>
    <row r="108" spans="1:21" ht="30.75" customHeight="1">
      <c r="A108" s="114"/>
      <c r="B108" s="114" t="s">
        <v>554</v>
      </c>
      <c r="C108" s="144" t="s">
        <v>555</v>
      </c>
      <c r="D108" s="132">
        <f t="shared" si="8"/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42">
        <v>0</v>
      </c>
      <c r="K108" s="133">
        <v>0</v>
      </c>
      <c r="L108" s="133">
        <v>0</v>
      </c>
      <c r="M108" s="132">
        <f t="shared" si="9"/>
        <v>29219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42">
        <v>0</v>
      </c>
      <c r="T108" s="133">
        <v>0</v>
      </c>
      <c r="U108" s="133">
        <f>13750+15469</f>
        <v>29219</v>
      </c>
    </row>
    <row r="109" spans="1:21" ht="30.75" customHeight="1">
      <c r="A109" s="114"/>
      <c r="B109" s="114" t="s">
        <v>556</v>
      </c>
      <c r="C109" s="145" t="s">
        <v>557</v>
      </c>
      <c r="D109" s="132">
        <f t="shared" si="8"/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2">
        <f t="shared" si="9"/>
        <v>235800479</v>
      </c>
      <c r="N109" s="133">
        <v>0</v>
      </c>
      <c r="O109" s="133">
        <v>0</v>
      </c>
      <c r="P109" s="133">
        <v>6481270</v>
      </c>
      <c r="Q109" s="133">
        <v>0</v>
      </c>
      <c r="R109" s="133">
        <v>0</v>
      </c>
      <c r="S109" s="142">
        <v>224613050</v>
      </c>
      <c r="T109" s="133">
        <v>4706159</v>
      </c>
      <c r="U109" s="133">
        <v>0</v>
      </c>
    </row>
    <row r="110" spans="1:21" ht="30.75" customHeight="1">
      <c r="A110" s="114"/>
      <c r="B110" s="114" t="s">
        <v>558</v>
      </c>
      <c r="C110" s="145" t="s">
        <v>559</v>
      </c>
      <c r="D110" s="132">
        <f t="shared" si="8"/>
        <v>0</v>
      </c>
      <c r="E110" s="133">
        <v>0</v>
      </c>
      <c r="F110" s="133">
        <v>0</v>
      </c>
      <c r="G110" s="133">
        <v>0</v>
      </c>
      <c r="H110" s="133">
        <v>0</v>
      </c>
      <c r="I110" s="133">
        <v>0</v>
      </c>
      <c r="J110" s="133">
        <v>0</v>
      </c>
      <c r="K110" s="133">
        <v>0</v>
      </c>
      <c r="L110" s="133">
        <v>0</v>
      </c>
      <c r="M110" s="132">
        <f t="shared" si="9"/>
        <v>0</v>
      </c>
      <c r="N110" s="133">
        <v>0</v>
      </c>
      <c r="O110" s="133">
        <v>0</v>
      </c>
      <c r="P110" s="133">
        <v>0</v>
      </c>
      <c r="Q110" s="133">
        <v>0</v>
      </c>
      <c r="R110" s="133">
        <v>0</v>
      </c>
      <c r="S110" s="142">
        <v>0</v>
      </c>
      <c r="T110" s="133">
        <v>0</v>
      </c>
      <c r="U110" s="133">
        <v>0</v>
      </c>
    </row>
    <row r="111" spans="1:21" ht="30.75" customHeight="1">
      <c r="A111" s="114"/>
      <c r="B111" s="114" t="s">
        <v>560</v>
      </c>
      <c r="C111" s="145" t="s">
        <v>561</v>
      </c>
      <c r="D111" s="132">
        <f t="shared" si="8"/>
        <v>0</v>
      </c>
      <c r="E111" s="133">
        <v>0</v>
      </c>
      <c r="F111" s="133">
        <v>0</v>
      </c>
      <c r="G111" s="133">
        <v>0</v>
      </c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2">
        <f t="shared" si="9"/>
        <v>23110330</v>
      </c>
      <c r="N111" s="133">
        <v>0</v>
      </c>
      <c r="O111" s="133">
        <v>0</v>
      </c>
      <c r="P111" s="133">
        <v>250330</v>
      </c>
      <c r="Q111" s="133">
        <v>0</v>
      </c>
      <c r="R111" s="133">
        <v>0</v>
      </c>
      <c r="S111" s="142">
        <v>22860000</v>
      </c>
      <c r="T111" s="133">
        <v>0</v>
      </c>
      <c r="U111" s="133">
        <v>0</v>
      </c>
    </row>
    <row r="112" spans="1:21" ht="30.75" customHeight="1">
      <c r="A112" s="114"/>
      <c r="B112" s="114" t="s">
        <v>562</v>
      </c>
      <c r="C112" s="145" t="s">
        <v>563</v>
      </c>
      <c r="D112" s="132">
        <f t="shared" si="8"/>
        <v>0</v>
      </c>
      <c r="E112" s="133">
        <v>0</v>
      </c>
      <c r="F112" s="133">
        <v>0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2">
        <f t="shared" si="9"/>
        <v>1553210</v>
      </c>
      <c r="N112" s="133">
        <v>0</v>
      </c>
      <c r="O112" s="133">
        <v>0</v>
      </c>
      <c r="P112" s="133">
        <v>1553210</v>
      </c>
      <c r="Q112" s="133">
        <v>0</v>
      </c>
      <c r="R112" s="133">
        <v>0</v>
      </c>
      <c r="S112" s="142">
        <v>0</v>
      </c>
      <c r="T112" s="133">
        <v>0</v>
      </c>
      <c r="U112" s="133">
        <v>0</v>
      </c>
    </row>
    <row r="113" spans="1:21" ht="30.75" customHeight="1">
      <c r="A113" s="114"/>
      <c r="B113" s="114" t="s">
        <v>564</v>
      </c>
      <c r="C113" s="145" t="s">
        <v>565</v>
      </c>
      <c r="D113" s="132">
        <f t="shared" si="8"/>
        <v>0</v>
      </c>
      <c r="E113" s="133">
        <v>0</v>
      </c>
      <c r="F113" s="133">
        <v>0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2">
        <f t="shared" si="9"/>
        <v>7114540</v>
      </c>
      <c r="N113" s="133">
        <v>0</v>
      </c>
      <c r="O113" s="133">
        <v>0</v>
      </c>
      <c r="P113" s="133">
        <f>7114540-317500</f>
        <v>6797040</v>
      </c>
      <c r="Q113" s="133">
        <v>0</v>
      </c>
      <c r="R113" s="133">
        <v>0</v>
      </c>
      <c r="S113" s="142">
        <f>317500</f>
        <v>317500</v>
      </c>
      <c r="T113" s="133">
        <v>0</v>
      </c>
      <c r="U113" s="133">
        <v>0</v>
      </c>
    </row>
    <row r="114" spans="1:21" ht="30.75" customHeight="1">
      <c r="A114" s="114"/>
      <c r="B114" s="114" t="s">
        <v>566</v>
      </c>
      <c r="C114" s="145" t="s">
        <v>567</v>
      </c>
      <c r="D114" s="132">
        <f t="shared" si="8"/>
        <v>0</v>
      </c>
      <c r="E114" s="133">
        <v>0</v>
      </c>
      <c r="F114" s="133">
        <v>0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2">
        <f t="shared" si="9"/>
        <v>2036070</v>
      </c>
      <c r="N114" s="133">
        <v>0</v>
      </c>
      <c r="O114" s="133">
        <v>0</v>
      </c>
      <c r="P114" s="133">
        <v>0</v>
      </c>
      <c r="Q114" s="133">
        <v>0</v>
      </c>
      <c r="R114" s="133">
        <v>0</v>
      </c>
      <c r="S114" s="142">
        <v>2036070</v>
      </c>
      <c r="T114" s="133">
        <v>0</v>
      </c>
      <c r="U114" s="133">
        <v>0</v>
      </c>
    </row>
    <row r="115" spans="1:21" ht="30.75" customHeight="1">
      <c r="A115" s="114"/>
      <c r="B115" s="114" t="s">
        <v>568</v>
      </c>
      <c r="C115" s="145" t="s">
        <v>569</v>
      </c>
      <c r="D115" s="132">
        <f t="shared" si="8"/>
        <v>0</v>
      </c>
      <c r="E115" s="133">
        <v>0</v>
      </c>
      <c r="F115" s="133">
        <v>0</v>
      </c>
      <c r="G115" s="133">
        <v>0</v>
      </c>
      <c r="H115" s="133">
        <v>0</v>
      </c>
      <c r="I115" s="133">
        <v>0</v>
      </c>
      <c r="J115" s="133">
        <v>0</v>
      </c>
      <c r="K115" s="133">
        <v>0</v>
      </c>
      <c r="L115" s="133">
        <v>0</v>
      </c>
      <c r="M115" s="132">
        <f t="shared" si="9"/>
        <v>11894184</v>
      </c>
      <c r="N115" s="133">
        <v>28000</v>
      </c>
      <c r="O115" s="133">
        <v>0</v>
      </c>
      <c r="P115" s="133">
        <v>0</v>
      </c>
      <c r="Q115" s="133">
        <v>0</v>
      </c>
      <c r="R115" s="133">
        <v>0</v>
      </c>
      <c r="S115" s="142">
        <v>11866184</v>
      </c>
      <c r="T115" s="133">
        <v>0</v>
      </c>
      <c r="U115" s="133">
        <v>0</v>
      </c>
    </row>
    <row r="116" spans="1:21" ht="30.75" customHeight="1">
      <c r="A116" s="114"/>
      <c r="B116" s="114" t="s">
        <v>570</v>
      </c>
      <c r="C116" s="145" t="s">
        <v>571</v>
      </c>
      <c r="D116" s="132">
        <f t="shared" si="8"/>
        <v>0</v>
      </c>
      <c r="E116" s="133">
        <v>0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2">
        <f t="shared" si="9"/>
        <v>0</v>
      </c>
      <c r="N116" s="133">
        <v>0</v>
      </c>
      <c r="O116" s="133">
        <v>0</v>
      </c>
      <c r="P116" s="133">
        <v>0</v>
      </c>
      <c r="Q116" s="133">
        <v>0</v>
      </c>
      <c r="R116" s="133">
        <v>0</v>
      </c>
      <c r="S116" s="142">
        <v>0</v>
      </c>
      <c r="T116" s="133">
        <v>0</v>
      </c>
      <c r="U116" s="133">
        <v>0</v>
      </c>
    </row>
    <row r="117" spans="1:21" ht="30.75" customHeight="1">
      <c r="A117" s="114"/>
      <c r="B117" s="114" t="s">
        <v>572</v>
      </c>
      <c r="C117" s="145" t="s">
        <v>573</v>
      </c>
      <c r="D117" s="132">
        <f t="shared" si="8"/>
        <v>0</v>
      </c>
      <c r="E117" s="133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2">
        <f t="shared" si="9"/>
        <v>0</v>
      </c>
      <c r="N117" s="133">
        <v>0</v>
      </c>
      <c r="O117" s="133">
        <v>0</v>
      </c>
      <c r="P117" s="133">
        <v>0</v>
      </c>
      <c r="Q117" s="133">
        <v>0</v>
      </c>
      <c r="R117" s="133">
        <v>0</v>
      </c>
      <c r="S117" s="142">
        <v>0</v>
      </c>
      <c r="T117" s="133">
        <v>0</v>
      </c>
      <c r="U117" s="133">
        <v>0</v>
      </c>
    </row>
    <row r="118" spans="1:21" ht="30.75" customHeight="1">
      <c r="A118" s="114"/>
      <c r="B118" s="114" t="s">
        <v>574</v>
      </c>
      <c r="C118" s="145" t="s">
        <v>575</v>
      </c>
      <c r="D118" s="132">
        <f t="shared" si="8"/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32">
        <f t="shared" si="9"/>
        <v>0</v>
      </c>
      <c r="N118" s="133">
        <v>0</v>
      </c>
      <c r="O118" s="133">
        <v>0</v>
      </c>
      <c r="P118" s="133">
        <v>0</v>
      </c>
      <c r="Q118" s="133">
        <v>0</v>
      </c>
      <c r="R118" s="133">
        <v>0</v>
      </c>
      <c r="S118" s="142">
        <v>0</v>
      </c>
      <c r="T118" s="133">
        <v>0</v>
      </c>
      <c r="U118" s="133">
        <v>0</v>
      </c>
    </row>
    <row r="119" spans="1:21" ht="30.75" customHeight="1">
      <c r="A119" s="114"/>
      <c r="B119" s="114" t="s">
        <v>576</v>
      </c>
      <c r="C119" s="145" t="s">
        <v>577</v>
      </c>
      <c r="D119" s="132">
        <f t="shared" si="8"/>
        <v>0</v>
      </c>
      <c r="E119" s="133">
        <v>0</v>
      </c>
      <c r="F119" s="133">
        <v>0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2">
        <f t="shared" si="9"/>
        <v>2095500</v>
      </c>
      <c r="N119" s="133">
        <v>0</v>
      </c>
      <c r="O119" s="133">
        <v>0</v>
      </c>
      <c r="P119" s="133">
        <v>0</v>
      </c>
      <c r="Q119" s="133">
        <v>0</v>
      </c>
      <c r="R119" s="133">
        <v>0</v>
      </c>
      <c r="S119" s="142">
        <v>0</v>
      </c>
      <c r="T119" s="133">
        <v>2095500</v>
      </c>
      <c r="U119" s="133">
        <v>0</v>
      </c>
    </row>
    <row r="120" spans="1:21" ht="30.75" customHeight="1">
      <c r="A120" s="114"/>
      <c r="B120" s="114" t="s">
        <v>1087</v>
      </c>
      <c r="C120" s="145" t="s">
        <v>1099</v>
      </c>
      <c r="D120" s="132">
        <f t="shared" si="8"/>
        <v>0</v>
      </c>
      <c r="E120" s="133">
        <v>0</v>
      </c>
      <c r="F120" s="133">
        <v>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2">
        <f t="shared" si="9"/>
        <v>8500000</v>
      </c>
      <c r="N120" s="133">
        <v>0</v>
      </c>
      <c r="O120" s="133">
        <v>0</v>
      </c>
      <c r="P120" s="133">
        <v>0</v>
      </c>
      <c r="Q120" s="133">
        <v>0</v>
      </c>
      <c r="R120" s="133">
        <v>0</v>
      </c>
      <c r="S120" s="142">
        <v>0</v>
      </c>
      <c r="T120" s="133">
        <v>8500000</v>
      </c>
      <c r="U120" s="133">
        <v>0</v>
      </c>
    </row>
    <row r="121" spans="1:21" ht="30.75" customHeight="1">
      <c r="A121" s="114"/>
      <c r="B121" s="114" t="s">
        <v>1088</v>
      </c>
      <c r="C121" s="145" t="s">
        <v>1100</v>
      </c>
      <c r="D121" s="132">
        <f t="shared" si="8"/>
        <v>0</v>
      </c>
      <c r="E121" s="133">
        <v>0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2">
        <f t="shared" si="9"/>
        <v>0</v>
      </c>
      <c r="N121" s="133">
        <v>0</v>
      </c>
      <c r="O121" s="133">
        <v>0</v>
      </c>
      <c r="P121" s="133">
        <v>0</v>
      </c>
      <c r="Q121" s="133">
        <v>0</v>
      </c>
      <c r="R121" s="133">
        <v>0</v>
      </c>
      <c r="S121" s="133">
        <v>0</v>
      </c>
      <c r="T121" s="133">
        <v>0</v>
      </c>
      <c r="U121" s="133">
        <v>0</v>
      </c>
    </row>
    <row r="122" spans="1:21" ht="30.75" customHeight="1">
      <c r="A122" s="114"/>
      <c r="B122" s="114" t="s">
        <v>1089</v>
      </c>
      <c r="C122" s="145" t="s">
        <v>1101</v>
      </c>
      <c r="D122" s="132">
        <f t="shared" si="8"/>
        <v>0</v>
      </c>
      <c r="E122" s="133">
        <v>0</v>
      </c>
      <c r="F122" s="133">
        <v>0</v>
      </c>
      <c r="G122" s="133">
        <v>0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  <c r="M122" s="132">
        <f t="shared" si="9"/>
        <v>0</v>
      </c>
      <c r="N122" s="133">
        <v>0</v>
      </c>
      <c r="O122" s="133">
        <v>0</v>
      </c>
      <c r="P122" s="133">
        <v>0</v>
      </c>
      <c r="Q122" s="133">
        <v>0</v>
      </c>
      <c r="R122" s="133">
        <v>0</v>
      </c>
      <c r="S122" s="133">
        <v>0</v>
      </c>
      <c r="T122" s="133">
        <v>0</v>
      </c>
      <c r="U122" s="133">
        <v>0</v>
      </c>
    </row>
    <row r="123" spans="1:21" ht="30.75" customHeight="1">
      <c r="A123" s="114"/>
      <c r="B123" s="114" t="s">
        <v>1090</v>
      </c>
      <c r="C123" s="145" t="s">
        <v>1102</v>
      </c>
      <c r="D123" s="132">
        <f t="shared" si="8"/>
        <v>0</v>
      </c>
      <c r="E123" s="133">
        <v>0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2">
        <f t="shared" si="9"/>
        <v>0</v>
      </c>
      <c r="N123" s="133">
        <v>0</v>
      </c>
      <c r="O123" s="133"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</row>
    <row r="124" spans="1:21" ht="30.75" customHeight="1">
      <c r="A124" s="114"/>
      <c r="B124" s="114" t="s">
        <v>1091</v>
      </c>
      <c r="C124" s="145" t="s">
        <v>1103</v>
      </c>
      <c r="D124" s="132">
        <f t="shared" si="8"/>
        <v>0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2">
        <f t="shared" si="9"/>
        <v>0</v>
      </c>
      <c r="N124" s="133">
        <v>0</v>
      </c>
      <c r="O124" s="133">
        <v>0</v>
      </c>
      <c r="P124" s="133">
        <v>0</v>
      </c>
      <c r="Q124" s="133">
        <v>0</v>
      </c>
      <c r="R124" s="133">
        <v>0</v>
      </c>
      <c r="S124" s="133">
        <v>0</v>
      </c>
      <c r="T124" s="133">
        <v>0</v>
      </c>
      <c r="U124" s="133">
        <v>0</v>
      </c>
    </row>
    <row r="125" spans="1:21" ht="30.75" customHeight="1">
      <c r="A125" s="114"/>
      <c r="B125" s="114" t="s">
        <v>1092</v>
      </c>
      <c r="C125" s="145" t="s">
        <v>1104</v>
      </c>
      <c r="D125" s="132">
        <f t="shared" si="8"/>
        <v>0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2">
        <f t="shared" si="9"/>
        <v>0</v>
      </c>
      <c r="N125" s="133">
        <v>0</v>
      </c>
      <c r="O125" s="133">
        <v>0</v>
      </c>
      <c r="P125" s="133">
        <v>0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</row>
    <row r="126" spans="1:21" ht="30.75" customHeight="1">
      <c r="A126" s="114"/>
      <c r="B126" s="114" t="s">
        <v>1093</v>
      </c>
      <c r="C126" s="145" t="s">
        <v>1105</v>
      </c>
      <c r="D126" s="132">
        <f t="shared" si="8"/>
        <v>0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2">
        <f t="shared" si="9"/>
        <v>0</v>
      </c>
      <c r="N126" s="133">
        <v>0</v>
      </c>
      <c r="O126" s="133">
        <v>0</v>
      </c>
      <c r="P126" s="133">
        <v>0</v>
      </c>
      <c r="Q126" s="133">
        <v>0</v>
      </c>
      <c r="R126" s="133">
        <v>0</v>
      </c>
      <c r="S126" s="133">
        <v>0</v>
      </c>
      <c r="T126" s="133">
        <v>0</v>
      </c>
      <c r="U126" s="133">
        <v>0</v>
      </c>
    </row>
    <row r="127" spans="1:21" ht="30.75" customHeight="1">
      <c r="A127" s="114"/>
      <c r="B127" s="114" t="s">
        <v>1094</v>
      </c>
      <c r="C127" s="145" t="s">
        <v>1106</v>
      </c>
      <c r="D127" s="132">
        <f t="shared" si="8"/>
        <v>0</v>
      </c>
      <c r="E127" s="133">
        <v>0</v>
      </c>
      <c r="F127" s="133">
        <v>0</v>
      </c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2">
        <f t="shared" si="9"/>
        <v>0</v>
      </c>
      <c r="N127" s="133">
        <v>0</v>
      </c>
      <c r="O127" s="133">
        <v>0</v>
      </c>
      <c r="P127" s="133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0</v>
      </c>
    </row>
    <row r="128" spans="1:21" ht="30.75" customHeight="1">
      <c r="A128" s="114"/>
      <c r="B128" s="114" t="s">
        <v>1095</v>
      </c>
      <c r="C128" s="145" t="s">
        <v>1107</v>
      </c>
      <c r="D128" s="132">
        <f t="shared" si="8"/>
        <v>0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2">
        <f t="shared" si="9"/>
        <v>0</v>
      </c>
      <c r="N128" s="133">
        <v>0</v>
      </c>
      <c r="O128" s="133">
        <v>0</v>
      </c>
      <c r="P128" s="133">
        <v>0</v>
      </c>
      <c r="Q128" s="133">
        <v>0</v>
      </c>
      <c r="R128" s="133">
        <v>0</v>
      </c>
      <c r="S128" s="133">
        <v>0</v>
      </c>
      <c r="T128" s="133">
        <v>0</v>
      </c>
      <c r="U128" s="133">
        <v>0</v>
      </c>
    </row>
    <row r="129" spans="1:21" ht="30.75" customHeight="1">
      <c r="A129" s="114"/>
      <c r="B129" s="114" t="s">
        <v>1096</v>
      </c>
      <c r="C129" s="145" t="s">
        <v>1108</v>
      </c>
      <c r="D129" s="132">
        <f t="shared" si="8"/>
        <v>0</v>
      </c>
      <c r="E129" s="133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2">
        <f t="shared" si="9"/>
        <v>0</v>
      </c>
      <c r="N129" s="133">
        <v>0</v>
      </c>
      <c r="O129" s="133">
        <v>0</v>
      </c>
      <c r="P129" s="133">
        <v>0</v>
      </c>
      <c r="Q129" s="133">
        <v>0</v>
      </c>
      <c r="R129" s="133">
        <v>0</v>
      </c>
      <c r="S129" s="133">
        <v>0</v>
      </c>
      <c r="T129" s="133">
        <v>0</v>
      </c>
      <c r="U129" s="133">
        <v>0</v>
      </c>
    </row>
    <row r="130" spans="1:21" ht="30.75" customHeight="1">
      <c r="A130" s="114"/>
      <c r="B130" s="114" t="s">
        <v>1097</v>
      </c>
      <c r="C130" s="145" t="s">
        <v>1109</v>
      </c>
      <c r="D130" s="132">
        <f t="shared" si="8"/>
        <v>0</v>
      </c>
      <c r="E130" s="133">
        <v>0</v>
      </c>
      <c r="F130" s="133">
        <v>0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2">
        <f t="shared" si="9"/>
        <v>0</v>
      </c>
      <c r="N130" s="133">
        <v>0</v>
      </c>
      <c r="O130" s="133">
        <v>0</v>
      </c>
      <c r="P130" s="133">
        <v>0</v>
      </c>
      <c r="Q130" s="133">
        <v>0</v>
      </c>
      <c r="R130" s="133">
        <v>0</v>
      </c>
      <c r="S130" s="133">
        <v>0</v>
      </c>
      <c r="T130" s="133">
        <v>0</v>
      </c>
      <c r="U130" s="133">
        <v>0</v>
      </c>
    </row>
    <row r="131" spans="1:21" ht="30.75" customHeight="1">
      <c r="A131" s="114"/>
      <c r="B131" s="114" t="s">
        <v>1098</v>
      </c>
      <c r="C131" s="145" t="s">
        <v>1110</v>
      </c>
      <c r="D131" s="132">
        <f t="shared" si="8"/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2">
        <f t="shared" si="9"/>
        <v>0</v>
      </c>
      <c r="N131" s="133">
        <v>0</v>
      </c>
      <c r="O131" s="133">
        <v>0</v>
      </c>
      <c r="P131" s="133">
        <v>0</v>
      </c>
      <c r="Q131" s="133">
        <v>0</v>
      </c>
      <c r="R131" s="133">
        <v>0</v>
      </c>
      <c r="S131" s="133">
        <v>0</v>
      </c>
      <c r="T131" s="133">
        <v>0</v>
      </c>
      <c r="U131" s="133">
        <v>0</v>
      </c>
    </row>
    <row r="132" spans="1:21" ht="30.75" customHeight="1">
      <c r="A132" s="114"/>
      <c r="B132" s="114" t="s">
        <v>1112</v>
      </c>
      <c r="C132" s="145" t="s">
        <v>1111</v>
      </c>
      <c r="D132" s="132">
        <f t="shared" si="8"/>
        <v>0</v>
      </c>
      <c r="E132" s="133">
        <v>0</v>
      </c>
      <c r="F132" s="133">
        <v>0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  <c r="M132" s="132">
        <f t="shared" si="9"/>
        <v>0</v>
      </c>
      <c r="N132" s="133">
        <v>0</v>
      </c>
      <c r="O132" s="133">
        <v>0</v>
      </c>
      <c r="P132" s="133">
        <v>0</v>
      </c>
      <c r="Q132" s="133">
        <v>0</v>
      </c>
      <c r="R132" s="133">
        <v>0</v>
      </c>
      <c r="S132" s="133">
        <v>0</v>
      </c>
      <c r="T132" s="133">
        <v>0</v>
      </c>
      <c r="U132" s="133">
        <v>0</v>
      </c>
    </row>
    <row r="133" spans="1:21" ht="30.75" customHeight="1">
      <c r="A133" s="114"/>
      <c r="B133" s="114" t="s">
        <v>1113</v>
      </c>
      <c r="C133" s="145" t="s">
        <v>1119</v>
      </c>
      <c r="D133" s="132">
        <f t="shared" si="8"/>
        <v>0</v>
      </c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2">
        <f t="shared" si="9"/>
        <v>0</v>
      </c>
      <c r="N133" s="133">
        <v>0</v>
      </c>
      <c r="O133" s="133">
        <v>0</v>
      </c>
      <c r="P133" s="133">
        <v>0</v>
      </c>
      <c r="Q133" s="133">
        <v>0</v>
      </c>
      <c r="R133" s="133">
        <v>0</v>
      </c>
      <c r="S133" s="133">
        <v>0</v>
      </c>
      <c r="T133" s="133">
        <v>0</v>
      </c>
      <c r="U133" s="133">
        <v>0</v>
      </c>
    </row>
    <row r="134" spans="1:21" ht="30.75" customHeight="1">
      <c r="A134" s="114"/>
      <c r="B134" s="114" t="s">
        <v>1114</v>
      </c>
      <c r="C134" s="145" t="s">
        <v>1120</v>
      </c>
      <c r="D134" s="132">
        <f t="shared" si="8"/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2">
        <f t="shared" si="9"/>
        <v>0</v>
      </c>
      <c r="N134" s="133">
        <v>0</v>
      </c>
      <c r="O134" s="133">
        <v>0</v>
      </c>
      <c r="P134" s="133">
        <v>0</v>
      </c>
      <c r="Q134" s="133">
        <v>0</v>
      </c>
      <c r="R134" s="133">
        <v>0</v>
      </c>
      <c r="S134" s="133">
        <v>0</v>
      </c>
      <c r="T134" s="133">
        <v>0</v>
      </c>
      <c r="U134" s="133">
        <v>0</v>
      </c>
    </row>
    <row r="135" spans="1:21" ht="30.75" customHeight="1">
      <c r="A135" s="114"/>
      <c r="B135" s="114" t="s">
        <v>1115</v>
      </c>
      <c r="C135" s="145" t="s">
        <v>1121</v>
      </c>
      <c r="D135" s="132">
        <f t="shared" si="8"/>
        <v>0</v>
      </c>
      <c r="E135" s="133">
        <v>0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2">
        <f t="shared" si="9"/>
        <v>0</v>
      </c>
      <c r="N135" s="133">
        <v>0</v>
      </c>
      <c r="O135" s="133">
        <v>0</v>
      </c>
      <c r="P135" s="133">
        <v>0</v>
      </c>
      <c r="Q135" s="133">
        <v>0</v>
      </c>
      <c r="R135" s="133">
        <v>0</v>
      </c>
      <c r="S135" s="133">
        <v>0</v>
      </c>
      <c r="T135" s="133">
        <v>0</v>
      </c>
      <c r="U135" s="133">
        <v>0</v>
      </c>
    </row>
    <row r="136" spans="1:21" ht="30.75" customHeight="1">
      <c r="A136" s="114"/>
      <c r="B136" s="114" t="s">
        <v>1116</v>
      </c>
      <c r="C136" s="145" t="s">
        <v>1122</v>
      </c>
      <c r="D136" s="132">
        <f t="shared" si="8"/>
        <v>0</v>
      </c>
      <c r="E136" s="133">
        <v>0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2">
        <f t="shared" si="9"/>
        <v>0</v>
      </c>
      <c r="N136" s="133">
        <v>0</v>
      </c>
      <c r="O136" s="133">
        <v>0</v>
      </c>
      <c r="P136" s="133">
        <v>0</v>
      </c>
      <c r="Q136" s="133">
        <v>0</v>
      </c>
      <c r="R136" s="133">
        <v>0</v>
      </c>
      <c r="S136" s="133">
        <v>0</v>
      </c>
      <c r="T136" s="133">
        <v>0</v>
      </c>
      <c r="U136" s="133">
        <v>0</v>
      </c>
    </row>
    <row r="137" spans="1:21" ht="30.75" customHeight="1">
      <c r="A137" s="114"/>
      <c r="B137" s="114" t="s">
        <v>1117</v>
      </c>
      <c r="C137" s="145" t="s">
        <v>1123</v>
      </c>
      <c r="D137" s="132">
        <f t="shared" si="8"/>
        <v>0</v>
      </c>
      <c r="E137" s="133">
        <v>0</v>
      </c>
      <c r="F137" s="133">
        <v>0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2">
        <f t="shared" si="9"/>
        <v>0</v>
      </c>
      <c r="N137" s="133">
        <v>0</v>
      </c>
      <c r="O137" s="133">
        <v>0</v>
      </c>
      <c r="P137" s="133">
        <v>0</v>
      </c>
      <c r="Q137" s="133">
        <v>0</v>
      </c>
      <c r="R137" s="133">
        <v>0</v>
      </c>
      <c r="S137" s="133">
        <v>0</v>
      </c>
      <c r="T137" s="133">
        <v>0</v>
      </c>
      <c r="U137" s="133">
        <v>0</v>
      </c>
    </row>
    <row r="138" spans="1:21" ht="30.75" customHeight="1">
      <c r="A138" s="114"/>
      <c r="B138" s="114" t="s">
        <v>1118</v>
      </c>
      <c r="C138" s="145" t="s">
        <v>1124</v>
      </c>
      <c r="D138" s="132">
        <f t="shared" si="8"/>
        <v>0</v>
      </c>
      <c r="E138" s="133">
        <v>0</v>
      </c>
      <c r="F138" s="133">
        <v>0</v>
      </c>
      <c r="G138" s="133">
        <v>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  <c r="M138" s="132">
        <f t="shared" si="9"/>
        <v>0</v>
      </c>
      <c r="N138" s="133">
        <v>0</v>
      </c>
      <c r="O138" s="133">
        <v>0</v>
      </c>
      <c r="P138" s="133">
        <v>0</v>
      </c>
      <c r="Q138" s="133">
        <v>0</v>
      </c>
      <c r="R138" s="133">
        <v>0</v>
      </c>
      <c r="S138" s="133">
        <v>0</v>
      </c>
      <c r="T138" s="133">
        <v>0</v>
      </c>
      <c r="U138" s="133">
        <v>0</v>
      </c>
    </row>
    <row r="139" spans="1:21" ht="30.75" customHeight="1">
      <c r="A139" s="114"/>
      <c r="B139" s="114" t="s">
        <v>1125</v>
      </c>
      <c r="C139" s="145" t="s">
        <v>1126</v>
      </c>
      <c r="D139" s="132">
        <f t="shared" si="8"/>
        <v>0</v>
      </c>
      <c r="E139" s="133">
        <v>0</v>
      </c>
      <c r="F139" s="133">
        <v>0</v>
      </c>
      <c r="G139" s="133">
        <v>0</v>
      </c>
      <c r="H139" s="133">
        <v>0</v>
      </c>
      <c r="I139" s="133">
        <v>0</v>
      </c>
      <c r="J139" s="133">
        <v>0</v>
      </c>
      <c r="K139" s="133">
        <v>0</v>
      </c>
      <c r="L139" s="133">
        <v>0</v>
      </c>
      <c r="M139" s="132">
        <f t="shared" si="9"/>
        <v>0</v>
      </c>
      <c r="N139" s="133">
        <v>0</v>
      </c>
      <c r="O139" s="133">
        <v>0</v>
      </c>
      <c r="P139" s="133">
        <v>0</v>
      </c>
      <c r="Q139" s="133">
        <v>0</v>
      </c>
      <c r="R139" s="133">
        <v>0</v>
      </c>
      <c r="S139" s="133">
        <v>0</v>
      </c>
      <c r="T139" s="133">
        <v>0</v>
      </c>
      <c r="U139" s="133">
        <v>0</v>
      </c>
    </row>
    <row r="140" spans="1:21" ht="18">
      <c r="A140" s="114" t="s">
        <v>52</v>
      </c>
      <c r="B140" s="114"/>
      <c r="C140" s="146" t="s">
        <v>38</v>
      </c>
      <c r="D140" s="129">
        <f t="shared" si="8"/>
        <v>0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8">
        <v>0</v>
      </c>
      <c r="M140" s="129">
        <f t="shared" si="9"/>
        <v>0</v>
      </c>
      <c r="N140" s="147">
        <v>0</v>
      </c>
      <c r="O140" s="147">
        <v>0</v>
      </c>
      <c r="P140" s="147">
        <v>0</v>
      </c>
      <c r="Q140" s="147">
        <v>0</v>
      </c>
      <c r="R140" s="147">
        <v>0</v>
      </c>
      <c r="S140" s="147">
        <v>0</v>
      </c>
      <c r="T140" s="147">
        <v>0</v>
      </c>
      <c r="U140" s="148">
        <v>0</v>
      </c>
    </row>
    <row r="141" spans="1:21" ht="18" customHeight="1">
      <c r="A141" s="222" t="s">
        <v>364</v>
      </c>
      <c r="B141" s="222"/>
      <c r="C141" s="222"/>
      <c r="D141" s="129">
        <f t="shared" si="8"/>
        <v>1821323000</v>
      </c>
      <c r="E141" s="130">
        <f aca="true" t="shared" si="10" ref="E141:L141">E10+E11+E140</f>
        <v>0</v>
      </c>
      <c r="F141" s="130">
        <f t="shared" si="10"/>
        <v>0</v>
      </c>
      <c r="G141" s="130">
        <f t="shared" si="10"/>
        <v>35000000</v>
      </c>
      <c r="H141" s="130">
        <f t="shared" si="10"/>
        <v>0</v>
      </c>
      <c r="I141" s="130">
        <f t="shared" si="10"/>
        <v>0</v>
      </c>
      <c r="J141" s="130">
        <f t="shared" si="10"/>
        <v>1370498000</v>
      </c>
      <c r="K141" s="130">
        <f t="shared" si="10"/>
        <v>279825000</v>
      </c>
      <c r="L141" s="130">
        <f t="shared" si="10"/>
        <v>136000000</v>
      </c>
      <c r="M141" s="129">
        <f t="shared" si="9"/>
        <v>2592271901</v>
      </c>
      <c r="N141" s="130">
        <f aca="true" t="shared" si="11" ref="N141:U141">N10+N11+N140</f>
        <v>28000</v>
      </c>
      <c r="O141" s="130">
        <f t="shared" si="11"/>
        <v>0</v>
      </c>
      <c r="P141" s="130">
        <f t="shared" si="11"/>
        <v>77767585</v>
      </c>
      <c r="Q141" s="130">
        <f t="shared" si="11"/>
        <v>0</v>
      </c>
      <c r="R141" s="130">
        <f t="shared" si="11"/>
        <v>1500000</v>
      </c>
      <c r="S141" s="130">
        <f t="shared" si="11"/>
        <v>2052265303</v>
      </c>
      <c r="T141" s="130">
        <f t="shared" si="11"/>
        <v>328612958</v>
      </c>
      <c r="U141" s="130">
        <f t="shared" si="11"/>
        <v>132098055</v>
      </c>
    </row>
  </sheetData>
  <sheetProtection selectLockedCells="1" selectUnlockedCells="1"/>
  <mergeCells count="16">
    <mergeCell ref="A141:C141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/>
  <pageMargins left="0.43333333333333335" right="0.43333333333333335" top="0.5513888888888889" bottom="0.5513888888888889" header="0.5118055555555555" footer="0.5118055555555555"/>
  <pageSetup fitToHeight="2" fitToWidth="1" horizontalDpi="300" verticalDpi="300" orientation="landscape" paperSize="9" scale="28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0"/>
  <sheetViews>
    <sheetView view="pageBreakPreview" zoomScale="84" zoomScaleNormal="71" zoomScaleSheetLayoutView="84" zoomScalePageLayoutView="0" workbookViewId="0" topLeftCell="A1">
      <selection activeCell="A1" sqref="A1:U1"/>
    </sheetView>
  </sheetViews>
  <sheetFormatPr defaultColWidth="9.140625" defaultRowHeight="18" customHeight="1"/>
  <cols>
    <col min="1" max="1" width="7.00390625" style="149" customWidth="1"/>
    <col min="2" max="2" width="10.7109375" style="149" customWidth="1"/>
    <col min="3" max="3" width="33.57421875" style="149" customWidth="1"/>
    <col min="4" max="12" width="14.57421875" style="149" customWidth="1"/>
    <col min="13" max="13" width="19.421875" style="149" customWidth="1"/>
    <col min="14" max="14" width="14.8515625" style="149" customWidth="1"/>
    <col min="15" max="15" width="16.8515625" style="149" customWidth="1"/>
    <col min="16" max="16" width="18.8515625" style="149" customWidth="1"/>
    <col min="17" max="17" width="14.7109375" style="149" customWidth="1"/>
    <col min="18" max="18" width="13.8515625" style="149" customWidth="1"/>
    <col min="19" max="19" width="16.7109375" style="149" customWidth="1"/>
    <col min="20" max="20" width="18.140625" style="149" customWidth="1"/>
    <col min="21" max="21" width="13.7109375" style="149" customWidth="1"/>
    <col min="22" max="16384" width="9.140625" style="149" customWidth="1"/>
  </cols>
  <sheetData>
    <row r="1" spans="1:21" ht="15.75" customHeight="1">
      <c r="A1" s="230" t="s">
        <v>1136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5.75" customHeight="1">
      <c r="A2" s="229" t="s">
        <v>1037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31" t="s">
        <v>54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" customHeight="1">
      <c r="A4" s="232" t="s">
        <v>578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9"/>
      <c r="U5" s="36" t="s">
        <v>1</v>
      </c>
    </row>
    <row r="6" spans="1:21" ht="12.75" customHeight="1">
      <c r="A6" s="150" t="s">
        <v>2</v>
      </c>
      <c r="B6" s="150" t="s">
        <v>3</v>
      </c>
      <c r="C6" s="150" t="s">
        <v>4</v>
      </c>
      <c r="D6" s="150" t="s">
        <v>5</v>
      </c>
      <c r="E6" s="150" t="s">
        <v>6</v>
      </c>
      <c r="F6" s="150" t="s">
        <v>7</v>
      </c>
      <c r="G6" s="150" t="s">
        <v>8</v>
      </c>
      <c r="H6" s="150" t="s">
        <v>9</v>
      </c>
      <c r="I6" s="150" t="s">
        <v>10</v>
      </c>
      <c r="J6" s="150" t="s">
        <v>11</v>
      </c>
      <c r="K6" s="150" t="s">
        <v>12</v>
      </c>
      <c r="L6" s="150" t="s">
        <v>13</v>
      </c>
      <c r="M6" s="150" t="s">
        <v>173</v>
      </c>
      <c r="N6" s="150" t="s">
        <v>174</v>
      </c>
      <c r="O6" s="150" t="s">
        <v>175</v>
      </c>
      <c r="P6" s="150" t="s">
        <v>176</v>
      </c>
      <c r="Q6" s="150" t="s">
        <v>177</v>
      </c>
      <c r="R6" s="150" t="s">
        <v>178</v>
      </c>
      <c r="S6" s="150" t="s">
        <v>179</v>
      </c>
      <c r="T6" s="150" t="s">
        <v>180</v>
      </c>
      <c r="U6" s="150" t="s">
        <v>181</v>
      </c>
    </row>
    <row r="7" spans="1:21" ht="12.75" customHeight="1">
      <c r="A7" s="233" t="s">
        <v>15</v>
      </c>
      <c r="B7" s="233" t="s">
        <v>186</v>
      </c>
      <c r="C7" s="228" t="s">
        <v>16</v>
      </c>
      <c r="D7" s="228" t="s">
        <v>17</v>
      </c>
      <c r="E7" s="219" t="s">
        <v>18</v>
      </c>
      <c r="F7" s="219"/>
      <c r="G7" s="219"/>
      <c r="H7" s="219"/>
      <c r="I7" s="219"/>
      <c r="J7" s="219"/>
      <c r="K7" s="219"/>
      <c r="L7" s="219"/>
      <c r="M7" s="228" t="s">
        <v>19</v>
      </c>
      <c r="N7" s="219" t="s">
        <v>20</v>
      </c>
      <c r="O7" s="219"/>
      <c r="P7" s="219"/>
      <c r="Q7" s="219"/>
      <c r="R7" s="219"/>
      <c r="S7" s="219"/>
      <c r="T7" s="219"/>
      <c r="U7" s="219"/>
    </row>
    <row r="8" spans="1:21" ht="12.75" customHeight="1">
      <c r="A8" s="233"/>
      <c r="B8" s="233"/>
      <c r="C8" s="228"/>
      <c r="D8" s="228"/>
      <c r="E8" s="220" t="s">
        <v>21</v>
      </c>
      <c r="F8" s="220"/>
      <c r="G8" s="220"/>
      <c r="H8" s="220"/>
      <c r="I8" s="220"/>
      <c r="J8" s="220" t="s">
        <v>22</v>
      </c>
      <c r="K8" s="220"/>
      <c r="L8" s="220"/>
      <c r="M8" s="228"/>
      <c r="N8" s="220" t="s">
        <v>21</v>
      </c>
      <c r="O8" s="220"/>
      <c r="P8" s="220"/>
      <c r="Q8" s="220"/>
      <c r="R8" s="220"/>
      <c r="S8" s="220" t="s">
        <v>22</v>
      </c>
      <c r="T8" s="220"/>
      <c r="U8" s="220"/>
    </row>
    <row r="9" spans="1:21" ht="76.5" customHeight="1">
      <c r="A9" s="233"/>
      <c r="B9" s="233"/>
      <c r="C9" s="228"/>
      <c r="D9" s="228"/>
      <c r="E9" s="112" t="s">
        <v>23</v>
      </c>
      <c r="F9" s="112" t="s">
        <v>24</v>
      </c>
      <c r="G9" s="112" t="s">
        <v>25</v>
      </c>
      <c r="H9" s="112" t="s">
        <v>26</v>
      </c>
      <c r="I9" s="112" t="s">
        <v>27</v>
      </c>
      <c r="J9" s="112" t="s">
        <v>28</v>
      </c>
      <c r="K9" s="112" t="s">
        <v>29</v>
      </c>
      <c r="L9" s="112" t="s">
        <v>30</v>
      </c>
      <c r="M9" s="228"/>
      <c r="N9" s="112" t="s">
        <v>23</v>
      </c>
      <c r="O9" s="112" t="s">
        <v>24</v>
      </c>
      <c r="P9" s="112" t="s">
        <v>25</v>
      </c>
      <c r="Q9" s="112" t="s">
        <v>26</v>
      </c>
      <c r="R9" s="112" t="s">
        <v>27</v>
      </c>
      <c r="S9" s="112" t="s">
        <v>28</v>
      </c>
      <c r="T9" s="112" t="s">
        <v>29</v>
      </c>
      <c r="U9" s="112" t="s">
        <v>30</v>
      </c>
    </row>
    <row r="10" spans="1:21" ht="20.25" customHeight="1">
      <c r="A10" s="151" t="s">
        <v>55</v>
      </c>
      <c r="B10" s="114"/>
      <c r="C10" s="152" t="s">
        <v>34</v>
      </c>
      <c r="D10" s="129">
        <f aca="true" t="shared" si="0" ref="D10:D20">SUM(E10:L10)</f>
        <v>0</v>
      </c>
      <c r="E10" s="130">
        <f aca="true" t="shared" si="1" ref="E10:L10">SUM(E11:E17)</f>
        <v>0</v>
      </c>
      <c r="F10" s="130">
        <f t="shared" si="1"/>
        <v>0</v>
      </c>
      <c r="G10" s="130">
        <f t="shared" si="1"/>
        <v>0</v>
      </c>
      <c r="H10" s="130">
        <f t="shared" si="1"/>
        <v>0</v>
      </c>
      <c r="I10" s="130">
        <f t="shared" si="1"/>
        <v>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29">
        <f aca="true" t="shared" si="2" ref="M10:M20">SUM(N10:U10)</f>
        <v>349372196</v>
      </c>
      <c r="N10" s="130">
        <f aca="true" t="shared" si="3" ref="N10:U10">SUM(N11:N17)</f>
        <v>0</v>
      </c>
      <c r="O10" s="130">
        <f t="shared" si="3"/>
        <v>0</v>
      </c>
      <c r="P10" s="130">
        <f t="shared" si="3"/>
        <v>100758849</v>
      </c>
      <c r="Q10" s="130">
        <f t="shared" si="3"/>
        <v>0</v>
      </c>
      <c r="R10" s="130">
        <f t="shared" si="3"/>
        <v>0</v>
      </c>
      <c r="S10" s="130">
        <f t="shared" si="3"/>
        <v>40483107</v>
      </c>
      <c r="T10" s="130">
        <f t="shared" si="3"/>
        <v>208130240</v>
      </c>
      <c r="U10" s="130">
        <f t="shared" si="3"/>
        <v>0</v>
      </c>
    </row>
    <row r="11" spans="1:21" ht="58.5" customHeight="1">
      <c r="A11" s="114"/>
      <c r="B11" s="114" t="s">
        <v>579</v>
      </c>
      <c r="C11" s="125" t="s">
        <v>580</v>
      </c>
      <c r="D11" s="148">
        <f t="shared" si="0"/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53">
        <v>0</v>
      </c>
      <c r="M11" s="148">
        <f t="shared" si="2"/>
        <v>21876989</v>
      </c>
      <c r="N11" s="133">
        <v>0</v>
      </c>
      <c r="O11" s="133">
        <v>0</v>
      </c>
      <c r="P11" s="133">
        <v>21876989</v>
      </c>
      <c r="Q11" s="133">
        <v>0</v>
      </c>
      <c r="R11" s="133">
        <v>0</v>
      </c>
      <c r="S11" s="133">
        <v>0</v>
      </c>
      <c r="T11" s="133">
        <v>0</v>
      </c>
      <c r="U11" s="153">
        <v>0</v>
      </c>
    </row>
    <row r="12" spans="1:21" ht="30" customHeight="1">
      <c r="A12" s="114"/>
      <c r="B12" s="114" t="s">
        <v>581</v>
      </c>
      <c r="C12" s="125" t="s">
        <v>582</v>
      </c>
      <c r="D12" s="148">
        <f t="shared" si="0"/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53">
        <v>0</v>
      </c>
      <c r="M12" s="148">
        <f t="shared" si="2"/>
        <v>19197410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19197410</v>
      </c>
      <c r="U12" s="153">
        <v>0</v>
      </c>
    </row>
    <row r="13" spans="1:21" ht="45" customHeight="1">
      <c r="A13" s="114"/>
      <c r="B13" s="114" t="s">
        <v>583</v>
      </c>
      <c r="C13" s="125" t="s">
        <v>584</v>
      </c>
      <c r="D13" s="148">
        <f t="shared" si="0"/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53">
        <v>0</v>
      </c>
      <c r="M13" s="148">
        <f t="shared" si="2"/>
        <v>25654985</v>
      </c>
      <c r="N13" s="133">
        <v>0</v>
      </c>
      <c r="O13" s="133">
        <v>0</v>
      </c>
      <c r="P13" s="133">
        <v>25654985</v>
      </c>
      <c r="Q13" s="133">
        <v>0</v>
      </c>
      <c r="R13" s="133">
        <v>0</v>
      </c>
      <c r="S13" s="133">
        <v>0</v>
      </c>
      <c r="T13" s="133">
        <v>0</v>
      </c>
      <c r="U13" s="153">
        <v>0</v>
      </c>
    </row>
    <row r="14" spans="1:21" ht="30" customHeight="1">
      <c r="A14" s="114"/>
      <c r="B14" s="114" t="s">
        <v>585</v>
      </c>
      <c r="C14" s="125" t="s">
        <v>586</v>
      </c>
      <c r="D14" s="148">
        <f t="shared" si="0"/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53">
        <v>0</v>
      </c>
      <c r="M14" s="148">
        <f t="shared" si="2"/>
        <v>28514214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28514214</v>
      </c>
      <c r="U14" s="153">
        <v>0</v>
      </c>
    </row>
    <row r="15" spans="1:21" ht="45" customHeight="1">
      <c r="A15" s="114"/>
      <c r="B15" s="114" t="s">
        <v>587</v>
      </c>
      <c r="C15" s="125" t="s">
        <v>588</v>
      </c>
      <c r="D15" s="148">
        <f t="shared" si="0"/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53">
        <v>0</v>
      </c>
      <c r="M15" s="148">
        <f t="shared" si="2"/>
        <v>50177037</v>
      </c>
      <c r="N15" s="133">
        <v>0</v>
      </c>
      <c r="O15" s="133">
        <v>0</v>
      </c>
      <c r="P15" s="133">
        <v>50177037</v>
      </c>
      <c r="Q15" s="133">
        <v>0</v>
      </c>
      <c r="R15" s="133">
        <v>0</v>
      </c>
      <c r="S15" s="133">
        <v>0</v>
      </c>
      <c r="T15" s="133">
        <v>0</v>
      </c>
      <c r="U15" s="153">
        <v>0</v>
      </c>
    </row>
    <row r="16" spans="1:21" ht="45" customHeight="1">
      <c r="A16" s="114"/>
      <c r="B16" s="114" t="s">
        <v>589</v>
      </c>
      <c r="C16" s="125" t="s">
        <v>590</v>
      </c>
      <c r="D16" s="148">
        <f t="shared" si="0"/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53">
        <v>0</v>
      </c>
      <c r="M16" s="148">
        <f t="shared" si="2"/>
        <v>43532945</v>
      </c>
      <c r="N16" s="133">
        <v>0</v>
      </c>
      <c r="O16" s="133">
        <v>0</v>
      </c>
      <c r="P16" s="133">
        <v>3049838</v>
      </c>
      <c r="Q16" s="133">
        <v>0</v>
      </c>
      <c r="R16" s="133">
        <v>0</v>
      </c>
      <c r="S16" s="133">
        <v>40483107</v>
      </c>
      <c r="T16" s="133">
        <v>0</v>
      </c>
      <c r="U16" s="153">
        <v>0</v>
      </c>
    </row>
    <row r="17" spans="1:21" ht="45" customHeight="1">
      <c r="A17" s="114"/>
      <c r="B17" s="114" t="s">
        <v>591</v>
      </c>
      <c r="C17" s="125" t="s">
        <v>592</v>
      </c>
      <c r="D17" s="148">
        <f t="shared" si="0"/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53">
        <v>0</v>
      </c>
      <c r="M17" s="148">
        <f t="shared" si="2"/>
        <v>160418616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160418616</v>
      </c>
      <c r="U17" s="153">
        <v>0</v>
      </c>
    </row>
    <row r="18" spans="1:21" ht="18" customHeight="1">
      <c r="A18" s="154" t="s">
        <v>56</v>
      </c>
      <c r="B18" s="114"/>
      <c r="C18" s="152" t="s">
        <v>36</v>
      </c>
      <c r="D18" s="129">
        <f t="shared" si="0"/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29">
        <f t="shared" si="2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</row>
    <row r="19" spans="1:21" ht="31.5" customHeight="1">
      <c r="A19" s="151" t="s">
        <v>57</v>
      </c>
      <c r="B19" s="114"/>
      <c r="C19" s="152" t="s">
        <v>38</v>
      </c>
      <c r="D19" s="129">
        <f t="shared" si="0"/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29">
        <v>0</v>
      </c>
      <c r="M19" s="129">
        <f t="shared" si="2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29">
        <v>0</v>
      </c>
    </row>
    <row r="20" spans="1:21" ht="37.5" customHeight="1">
      <c r="A20" s="222" t="s">
        <v>364</v>
      </c>
      <c r="B20" s="222"/>
      <c r="C20" s="222"/>
      <c r="D20" s="129">
        <f t="shared" si="0"/>
        <v>0</v>
      </c>
      <c r="E20" s="130">
        <f aca="true" t="shared" si="4" ref="E20:L20">E10+E18+E19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29">
        <f t="shared" si="2"/>
        <v>349372196</v>
      </c>
      <c r="N20" s="130">
        <f aca="true" t="shared" si="5" ref="N20:U20">N10+N18+N19</f>
        <v>0</v>
      </c>
      <c r="O20" s="130">
        <f t="shared" si="5"/>
        <v>0</v>
      </c>
      <c r="P20" s="130">
        <f t="shared" si="5"/>
        <v>100758849</v>
      </c>
      <c r="Q20" s="130">
        <f t="shared" si="5"/>
        <v>0</v>
      </c>
      <c r="R20" s="130">
        <f t="shared" si="5"/>
        <v>0</v>
      </c>
      <c r="S20" s="130">
        <f t="shared" si="5"/>
        <v>40483107</v>
      </c>
      <c r="T20" s="130">
        <f t="shared" si="5"/>
        <v>208130240</v>
      </c>
      <c r="U20" s="130">
        <f t="shared" si="5"/>
        <v>0</v>
      </c>
    </row>
  </sheetData>
  <sheetProtection selectLockedCells="1" selectUnlockedCells="1"/>
  <mergeCells count="16">
    <mergeCell ref="A20:C20"/>
    <mergeCell ref="A1:U1"/>
    <mergeCell ref="A3:U3"/>
    <mergeCell ref="A4:U4"/>
    <mergeCell ref="A7:A9"/>
    <mergeCell ref="B7:B9"/>
    <mergeCell ref="C7:C9"/>
    <mergeCell ref="D7:D9"/>
    <mergeCell ref="E7:L7"/>
    <mergeCell ref="M7:M9"/>
    <mergeCell ref="A2:U2"/>
    <mergeCell ref="N7:U7"/>
    <mergeCell ref="E8:I8"/>
    <mergeCell ref="J8:L8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4"/>
  <sheetViews>
    <sheetView view="pageBreakPreview" zoomScale="70" zoomScaleNormal="71" zoomScaleSheetLayoutView="70" zoomScalePageLayoutView="0" workbookViewId="0" topLeftCell="A1">
      <pane xSplit="5" ySplit="11" topLeftCell="H12" activePane="bottomRight" state="frozen"/>
      <selection pane="topLeft" activeCell="A1" sqref="A1"/>
      <selection pane="topRight" activeCell="P1" sqref="P1"/>
      <selection pane="bottomLeft" activeCell="A12" sqref="A12"/>
      <selection pane="bottomRight" activeCell="A1" sqref="A1:V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10" width="14.57421875" style="0" customWidth="1"/>
    <col min="11" max="11" width="20.8515625" style="0" customWidth="1"/>
    <col min="12" max="13" width="14.57421875" style="0" customWidth="1"/>
    <col min="14" max="14" width="20.8515625" style="0" customWidth="1"/>
    <col min="15" max="16" width="15.28125" style="0" customWidth="1"/>
    <col min="17" max="17" width="16.7109375" style="0" customWidth="1"/>
    <col min="18" max="19" width="15.28125" style="0" customWidth="1"/>
    <col min="20" max="20" width="20.8515625" style="0" customWidth="1"/>
    <col min="21" max="22" width="15.28125" style="0" customWidth="1"/>
  </cols>
  <sheetData>
    <row r="1" spans="1:22" ht="18">
      <c r="A1" s="230" t="s">
        <v>1137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18">
      <c r="A2" s="229" t="s">
        <v>1038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8" customHeight="1">
      <c r="A3" s="231" t="s">
        <v>593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ht="18">
      <c r="A4" s="232" t="s">
        <v>594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39"/>
      <c r="V5" s="127" t="s">
        <v>1</v>
      </c>
    </row>
    <row r="6" spans="1:22" ht="12.75">
      <c r="A6" s="128" t="s">
        <v>2</v>
      </c>
      <c r="B6" s="128" t="s">
        <v>3</v>
      </c>
      <c r="C6" s="128"/>
      <c r="D6" s="128" t="s">
        <v>4</v>
      </c>
      <c r="E6" s="128" t="s">
        <v>5</v>
      </c>
      <c r="F6" s="128" t="s">
        <v>6</v>
      </c>
      <c r="G6" s="128" t="s">
        <v>7</v>
      </c>
      <c r="H6" s="128" t="s">
        <v>8</v>
      </c>
      <c r="I6" s="128" t="s">
        <v>9</v>
      </c>
      <c r="J6" s="128" t="s">
        <v>10</v>
      </c>
      <c r="K6" s="128" t="s">
        <v>11</v>
      </c>
      <c r="L6" s="128" t="s">
        <v>12</v>
      </c>
      <c r="M6" s="128" t="s">
        <v>13</v>
      </c>
      <c r="N6" s="128" t="s">
        <v>173</v>
      </c>
      <c r="O6" s="128" t="s">
        <v>174</v>
      </c>
      <c r="P6" s="128" t="s">
        <v>175</v>
      </c>
      <c r="Q6" s="128" t="s">
        <v>176</v>
      </c>
      <c r="R6" s="128" t="s">
        <v>177</v>
      </c>
      <c r="S6" s="128" t="s">
        <v>178</v>
      </c>
      <c r="T6" s="128" t="s">
        <v>179</v>
      </c>
      <c r="U6" s="128" t="s">
        <v>180</v>
      </c>
      <c r="V6" s="128" t="s">
        <v>181</v>
      </c>
    </row>
    <row r="7" spans="1:22" ht="12.75" customHeight="1">
      <c r="A7" s="233" t="s">
        <v>15</v>
      </c>
      <c r="B7" s="233" t="s">
        <v>186</v>
      </c>
      <c r="C7" s="233" t="s">
        <v>595</v>
      </c>
      <c r="D7" s="228" t="s">
        <v>16</v>
      </c>
      <c r="E7" s="228" t="s">
        <v>17</v>
      </c>
      <c r="F7" s="219" t="s">
        <v>18</v>
      </c>
      <c r="G7" s="219"/>
      <c r="H7" s="219"/>
      <c r="I7" s="219"/>
      <c r="J7" s="219"/>
      <c r="K7" s="219"/>
      <c r="L7" s="219"/>
      <c r="M7" s="219"/>
      <c r="N7" s="228" t="s">
        <v>19</v>
      </c>
      <c r="O7" s="219" t="s">
        <v>20</v>
      </c>
      <c r="P7" s="219"/>
      <c r="Q7" s="219"/>
      <c r="R7" s="219"/>
      <c r="S7" s="219"/>
      <c r="T7" s="219"/>
      <c r="U7" s="219"/>
      <c r="V7" s="219"/>
    </row>
    <row r="8" spans="1:22" ht="12.75" customHeight="1">
      <c r="A8" s="233"/>
      <c r="B8" s="233"/>
      <c r="C8" s="233"/>
      <c r="D8" s="228"/>
      <c r="E8" s="228"/>
      <c r="F8" s="220" t="s">
        <v>21</v>
      </c>
      <c r="G8" s="220"/>
      <c r="H8" s="220"/>
      <c r="I8" s="220"/>
      <c r="J8" s="220"/>
      <c r="K8" s="220" t="s">
        <v>22</v>
      </c>
      <c r="L8" s="220"/>
      <c r="M8" s="220"/>
      <c r="N8" s="228"/>
      <c r="O8" s="220" t="s">
        <v>21</v>
      </c>
      <c r="P8" s="220"/>
      <c r="Q8" s="220"/>
      <c r="R8" s="220"/>
      <c r="S8" s="220"/>
      <c r="T8" s="220" t="s">
        <v>22</v>
      </c>
      <c r="U8" s="220"/>
      <c r="V8" s="220"/>
    </row>
    <row r="9" spans="1:22" ht="96" customHeight="1">
      <c r="A9" s="233"/>
      <c r="B9" s="233"/>
      <c r="C9" s="233"/>
      <c r="D9" s="228"/>
      <c r="E9" s="228"/>
      <c r="F9" s="112" t="s">
        <v>23</v>
      </c>
      <c r="G9" s="112" t="s">
        <v>24</v>
      </c>
      <c r="H9" s="112" t="s">
        <v>25</v>
      </c>
      <c r="I9" s="112" t="s">
        <v>26</v>
      </c>
      <c r="J9" s="112" t="s">
        <v>27</v>
      </c>
      <c r="K9" s="112" t="s">
        <v>28</v>
      </c>
      <c r="L9" s="112" t="s">
        <v>29</v>
      </c>
      <c r="M9" s="112" t="s">
        <v>30</v>
      </c>
      <c r="N9" s="228"/>
      <c r="O9" s="112" t="s">
        <v>23</v>
      </c>
      <c r="P9" s="112" t="s">
        <v>24</v>
      </c>
      <c r="Q9" s="112" t="s">
        <v>25</v>
      </c>
      <c r="R9" s="112" t="s">
        <v>26</v>
      </c>
      <c r="S9" s="112" t="s">
        <v>27</v>
      </c>
      <c r="T9" s="112" t="s">
        <v>28</v>
      </c>
      <c r="U9" s="112" t="s">
        <v>29</v>
      </c>
      <c r="V9" s="112" t="s">
        <v>30</v>
      </c>
    </row>
    <row r="10" spans="1:22" ht="18">
      <c r="A10" s="114" t="s">
        <v>65</v>
      </c>
      <c r="B10" s="114"/>
      <c r="C10" s="114"/>
      <c r="D10" s="115" t="s">
        <v>34</v>
      </c>
      <c r="E10" s="129">
        <f aca="true" t="shared" si="0" ref="E10:E34">SUM(F10:M10)</f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29">
        <v>0</v>
      </c>
      <c r="N10" s="129">
        <f>SUM(O10:V10)</f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29">
        <v>0</v>
      </c>
    </row>
    <row r="11" spans="1:22" ht="18">
      <c r="A11" s="114" t="s">
        <v>66</v>
      </c>
      <c r="B11" s="114"/>
      <c r="C11" s="114"/>
      <c r="D11" s="115" t="s">
        <v>36</v>
      </c>
      <c r="E11" s="129">
        <f t="shared" si="0"/>
        <v>2450112437</v>
      </c>
      <c r="F11" s="130">
        <f aca="true" t="shared" si="1" ref="F11:V11">SUM(F12:F29)+F32</f>
        <v>0</v>
      </c>
      <c r="G11" s="130">
        <f t="shared" si="1"/>
        <v>0</v>
      </c>
      <c r="H11" s="130">
        <f t="shared" si="1"/>
        <v>57000000</v>
      </c>
      <c r="I11" s="130">
        <f t="shared" si="1"/>
        <v>0</v>
      </c>
      <c r="J11" s="130">
        <f t="shared" si="1"/>
        <v>0</v>
      </c>
      <c r="K11" s="130">
        <f t="shared" si="1"/>
        <v>2384980000</v>
      </c>
      <c r="L11" s="130">
        <f t="shared" si="1"/>
        <v>0</v>
      </c>
      <c r="M11" s="130">
        <f t="shared" si="1"/>
        <v>8132437</v>
      </c>
      <c r="N11" s="130">
        <f t="shared" si="1"/>
        <v>2661961783</v>
      </c>
      <c r="O11" s="130">
        <f t="shared" si="1"/>
        <v>0</v>
      </c>
      <c r="P11" s="130">
        <f t="shared" si="1"/>
        <v>0</v>
      </c>
      <c r="Q11" s="130">
        <f t="shared" si="1"/>
        <v>72576757</v>
      </c>
      <c r="R11" s="130">
        <f t="shared" si="1"/>
        <v>0</v>
      </c>
      <c r="S11" s="130">
        <f t="shared" si="1"/>
        <v>440000</v>
      </c>
      <c r="T11" s="130">
        <f t="shared" si="1"/>
        <v>2580752589</v>
      </c>
      <c r="U11" s="130">
        <f t="shared" si="1"/>
        <v>0</v>
      </c>
      <c r="V11" s="130">
        <f t="shared" si="1"/>
        <v>8192437</v>
      </c>
    </row>
    <row r="12" spans="1:22" ht="18">
      <c r="A12" s="114"/>
      <c r="B12" s="114" t="s">
        <v>596</v>
      </c>
      <c r="C12" s="114"/>
      <c r="D12" s="125" t="s">
        <v>597</v>
      </c>
      <c r="E12" s="148">
        <f t="shared" si="0"/>
        <v>12000000</v>
      </c>
      <c r="F12" s="133">
        <v>0</v>
      </c>
      <c r="G12" s="133">
        <v>0</v>
      </c>
      <c r="H12" s="133">
        <v>12000000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48">
        <f aca="true" t="shared" si="2" ref="N12:N34">SUM(O12:V12)</f>
        <v>12000000</v>
      </c>
      <c r="O12" s="155">
        <v>0</v>
      </c>
      <c r="P12" s="155">
        <v>0</v>
      </c>
      <c r="Q12" s="155">
        <v>12000000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</row>
    <row r="13" spans="1:22" ht="18">
      <c r="A13" s="114"/>
      <c r="B13" s="114" t="s">
        <v>598</v>
      </c>
      <c r="C13" s="114"/>
      <c r="D13" s="125" t="s">
        <v>599</v>
      </c>
      <c r="E13" s="148">
        <f t="shared" si="0"/>
        <v>1000000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1000000</v>
      </c>
      <c r="L13" s="133">
        <v>0</v>
      </c>
      <c r="M13" s="133">
        <v>0</v>
      </c>
      <c r="N13" s="148">
        <f t="shared" si="2"/>
        <v>13806958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f>13594958+212000</f>
        <v>13806958</v>
      </c>
      <c r="U13" s="155">
        <v>0</v>
      </c>
      <c r="V13" s="155">
        <v>0</v>
      </c>
    </row>
    <row r="14" spans="1:22" ht="18">
      <c r="A14" s="114"/>
      <c r="B14" s="114" t="s">
        <v>600</v>
      </c>
      <c r="C14" s="114"/>
      <c r="D14" s="125" t="s">
        <v>601</v>
      </c>
      <c r="E14" s="148">
        <f t="shared" si="0"/>
        <v>25000000</v>
      </c>
      <c r="F14" s="133">
        <v>0</v>
      </c>
      <c r="G14" s="133">
        <v>0</v>
      </c>
      <c r="H14" s="133">
        <v>25000000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48">
        <f t="shared" si="2"/>
        <v>25000000</v>
      </c>
      <c r="O14" s="155">
        <v>0</v>
      </c>
      <c r="P14" s="155">
        <v>0</v>
      </c>
      <c r="Q14" s="155">
        <v>25000000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</row>
    <row r="15" spans="1:22" ht="18">
      <c r="A15" s="114"/>
      <c r="B15" s="114" t="s">
        <v>602</v>
      </c>
      <c r="C15" s="114"/>
      <c r="D15" s="125" t="s">
        <v>603</v>
      </c>
      <c r="E15" s="148">
        <f t="shared" si="0"/>
        <v>10000000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10000000</v>
      </c>
      <c r="L15" s="133">
        <v>0</v>
      </c>
      <c r="M15" s="133">
        <v>0</v>
      </c>
      <c r="N15" s="148">
        <f t="shared" si="2"/>
        <v>10000000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10000000</v>
      </c>
      <c r="U15" s="155">
        <v>0</v>
      </c>
      <c r="V15" s="155">
        <v>0</v>
      </c>
    </row>
    <row r="16" spans="1:22" ht="18">
      <c r="A16" s="114"/>
      <c r="B16" s="114" t="s">
        <v>604</v>
      </c>
      <c r="C16" s="114"/>
      <c r="D16" s="125" t="s">
        <v>605</v>
      </c>
      <c r="E16" s="148">
        <f t="shared" si="0"/>
        <v>17000000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17000000</v>
      </c>
      <c r="L16" s="133">
        <v>0</v>
      </c>
      <c r="M16" s="133">
        <v>0</v>
      </c>
      <c r="N16" s="148">
        <f t="shared" si="2"/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</row>
    <row r="17" spans="1:22" ht="18">
      <c r="A17" s="114"/>
      <c r="B17" s="114" t="s">
        <v>606</v>
      </c>
      <c r="C17" s="114"/>
      <c r="D17" s="125" t="s">
        <v>607</v>
      </c>
      <c r="E17" s="148">
        <f t="shared" si="0"/>
        <v>48000000</v>
      </c>
      <c r="F17" s="133">
        <v>0</v>
      </c>
      <c r="G17" s="133">
        <v>0</v>
      </c>
      <c r="H17" s="133">
        <v>20000000</v>
      </c>
      <c r="I17" s="133">
        <v>0</v>
      </c>
      <c r="J17" s="133">
        <v>0</v>
      </c>
      <c r="K17" s="133">
        <v>28000000</v>
      </c>
      <c r="L17" s="133">
        <v>0</v>
      </c>
      <c r="M17" s="133">
        <v>0</v>
      </c>
      <c r="N17" s="148">
        <f t="shared" si="2"/>
        <v>112734682</v>
      </c>
      <c r="O17" s="155">
        <v>0</v>
      </c>
      <c r="P17" s="155">
        <v>0</v>
      </c>
      <c r="Q17" s="155">
        <v>21462257</v>
      </c>
      <c r="R17" s="155">
        <v>0</v>
      </c>
      <c r="S17" s="155">
        <v>440000</v>
      </c>
      <c r="T17" s="155">
        <f>91888755-1116330</f>
        <v>90772425</v>
      </c>
      <c r="U17" s="155">
        <v>0</v>
      </c>
      <c r="V17" s="155">
        <v>60000</v>
      </c>
    </row>
    <row r="18" spans="1:22" ht="18">
      <c r="A18" s="114"/>
      <c r="B18" s="114" t="s">
        <v>608</v>
      </c>
      <c r="C18" s="114"/>
      <c r="D18" s="125" t="s">
        <v>609</v>
      </c>
      <c r="E18" s="148">
        <f t="shared" si="0"/>
        <v>11430000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11430000</v>
      </c>
      <c r="L18" s="133">
        <v>0</v>
      </c>
      <c r="M18" s="133">
        <v>0</v>
      </c>
      <c r="N18" s="148">
        <f t="shared" si="2"/>
        <v>11430000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11430000</v>
      </c>
      <c r="U18" s="155">
        <v>0</v>
      </c>
      <c r="V18" s="155">
        <v>0</v>
      </c>
    </row>
    <row r="19" spans="1:22" ht="18">
      <c r="A19" s="114"/>
      <c r="B19" s="114" t="s">
        <v>610</v>
      </c>
      <c r="C19" s="114"/>
      <c r="D19" s="125" t="s">
        <v>611</v>
      </c>
      <c r="E19" s="148">
        <f t="shared" si="0"/>
        <v>8132437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8132437</v>
      </c>
      <c r="N19" s="148">
        <f t="shared" si="2"/>
        <v>8132437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8132437</v>
      </c>
    </row>
    <row r="20" spans="1:22" ht="18">
      <c r="A20" s="114"/>
      <c r="B20" s="114" t="s">
        <v>612</v>
      </c>
      <c r="C20" s="114"/>
      <c r="D20" s="125" t="s">
        <v>613</v>
      </c>
      <c r="E20" s="148">
        <f t="shared" si="0"/>
        <v>35000000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35000000</v>
      </c>
      <c r="L20" s="133">
        <v>0</v>
      </c>
      <c r="M20" s="133">
        <v>0</v>
      </c>
      <c r="N20" s="148">
        <f t="shared" si="2"/>
        <v>35000000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35000000</v>
      </c>
      <c r="U20" s="155">
        <v>0</v>
      </c>
      <c r="V20" s="155">
        <v>0</v>
      </c>
    </row>
    <row r="21" spans="1:22" ht="18">
      <c r="A21" s="114"/>
      <c r="B21" s="114" t="s">
        <v>614</v>
      </c>
      <c r="C21" s="114"/>
      <c r="D21" s="125" t="s">
        <v>615</v>
      </c>
      <c r="E21" s="148">
        <f t="shared" si="0"/>
        <v>25000000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25000000</v>
      </c>
      <c r="L21" s="133">
        <v>0</v>
      </c>
      <c r="M21" s="133">
        <v>0</v>
      </c>
      <c r="N21" s="148">
        <f t="shared" si="2"/>
        <v>25000000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25000000</v>
      </c>
      <c r="U21" s="155">
        <v>0</v>
      </c>
      <c r="V21" s="155">
        <v>0</v>
      </c>
    </row>
    <row r="22" spans="1:22" ht="30">
      <c r="A22" s="114"/>
      <c r="B22" s="114" t="s">
        <v>616</v>
      </c>
      <c r="C22" s="114"/>
      <c r="D22" s="125" t="s">
        <v>617</v>
      </c>
      <c r="E22" s="148">
        <f t="shared" si="0"/>
        <v>19000000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19000000</v>
      </c>
      <c r="L22" s="133">
        <v>0</v>
      </c>
      <c r="M22" s="133">
        <v>0</v>
      </c>
      <c r="N22" s="148">
        <f t="shared" si="2"/>
        <v>19000000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19000000</v>
      </c>
      <c r="U22" s="155">
        <v>0</v>
      </c>
      <c r="V22" s="155">
        <v>0</v>
      </c>
    </row>
    <row r="23" spans="1:22" ht="18">
      <c r="A23" s="114"/>
      <c r="B23" s="114" t="s">
        <v>618</v>
      </c>
      <c r="C23" s="114"/>
      <c r="D23" s="125" t="s">
        <v>619</v>
      </c>
      <c r="E23" s="148">
        <f t="shared" si="0"/>
        <v>30000000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30000000</v>
      </c>
      <c r="L23" s="133">
        <v>0</v>
      </c>
      <c r="M23" s="133">
        <v>0</v>
      </c>
      <c r="N23" s="148">
        <f t="shared" si="2"/>
        <v>62373250</v>
      </c>
      <c r="O23" s="155">
        <v>0</v>
      </c>
      <c r="P23" s="155">
        <v>0</v>
      </c>
      <c r="Q23" s="155">
        <v>229590</v>
      </c>
      <c r="R23" s="155">
        <v>0</v>
      </c>
      <c r="S23" s="155">
        <v>0</v>
      </c>
      <c r="T23" s="155">
        <v>62143660</v>
      </c>
      <c r="U23" s="155">
        <v>0</v>
      </c>
      <c r="V23" s="155">
        <v>0</v>
      </c>
    </row>
    <row r="24" spans="1:22" ht="30">
      <c r="A24" s="114"/>
      <c r="B24" s="114" t="s">
        <v>620</v>
      </c>
      <c r="C24" s="114"/>
      <c r="D24" s="125" t="s">
        <v>621</v>
      </c>
      <c r="E24" s="148">
        <f t="shared" si="0"/>
        <v>15000000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15000000</v>
      </c>
      <c r="L24" s="133">
        <v>0</v>
      </c>
      <c r="M24" s="133">
        <v>0</v>
      </c>
      <c r="N24" s="148">
        <f t="shared" si="2"/>
        <v>30000000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30000000</v>
      </c>
      <c r="U24" s="155">
        <v>0</v>
      </c>
      <c r="V24" s="155">
        <v>0</v>
      </c>
    </row>
    <row r="25" spans="1:22" ht="18">
      <c r="A25" s="114"/>
      <c r="B25" s="114" t="s">
        <v>622</v>
      </c>
      <c r="C25" s="114"/>
      <c r="D25" s="125" t="s">
        <v>623</v>
      </c>
      <c r="E25" s="148">
        <f t="shared" si="0"/>
        <v>10000000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10000000</v>
      </c>
      <c r="L25" s="133">
        <v>0</v>
      </c>
      <c r="M25" s="133">
        <v>0</v>
      </c>
      <c r="N25" s="148">
        <f t="shared" si="2"/>
        <v>10000000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10000000</v>
      </c>
      <c r="U25" s="155">
        <v>0</v>
      </c>
      <c r="V25" s="155">
        <v>0</v>
      </c>
    </row>
    <row r="26" spans="1:22" ht="18">
      <c r="A26" s="114"/>
      <c r="B26" s="114" t="s">
        <v>624</v>
      </c>
      <c r="C26" s="114"/>
      <c r="D26" s="125" t="s">
        <v>625</v>
      </c>
      <c r="E26" s="148">
        <f t="shared" si="0"/>
        <v>69550000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69550000</v>
      </c>
      <c r="L26" s="133">
        <v>0</v>
      </c>
      <c r="M26" s="133">
        <v>0</v>
      </c>
      <c r="N26" s="148">
        <f t="shared" si="2"/>
        <v>136766413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136766413</v>
      </c>
      <c r="U26" s="155">
        <v>0</v>
      </c>
      <c r="V26" s="155">
        <v>0</v>
      </c>
    </row>
    <row r="27" spans="1:22" ht="18">
      <c r="A27" s="114"/>
      <c r="B27" s="114" t="s">
        <v>626</v>
      </c>
      <c r="C27" s="114"/>
      <c r="D27" s="125" t="s">
        <v>627</v>
      </c>
      <c r="E27" s="148">
        <f t="shared" si="0"/>
        <v>15000000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15000000</v>
      </c>
      <c r="L27" s="133">
        <v>0</v>
      </c>
      <c r="M27" s="133">
        <v>0</v>
      </c>
      <c r="N27" s="148">
        <f t="shared" si="2"/>
        <v>15000000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15000000</v>
      </c>
      <c r="U27" s="155">
        <v>0</v>
      </c>
      <c r="V27" s="155">
        <v>0</v>
      </c>
    </row>
    <row r="28" spans="1:22" ht="18">
      <c r="A28" s="114"/>
      <c r="B28" s="114" t="s">
        <v>628</v>
      </c>
      <c r="C28" s="114"/>
      <c r="D28" s="125" t="s">
        <v>629</v>
      </c>
      <c r="E28" s="148">
        <f t="shared" si="0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48">
        <f t="shared" si="2"/>
        <v>27816043</v>
      </c>
      <c r="O28" s="155">
        <v>0</v>
      </c>
      <c r="P28" s="155">
        <v>0</v>
      </c>
      <c r="Q28" s="155">
        <v>13884910</v>
      </c>
      <c r="R28" s="155">
        <v>0</v>
      </c>
      <c r="S28" s="155">
        <v>0</v>
      </c>
      <c r="T28" s="155">
        <v>13931133</v>
      </c>
      <c r="U28" s="155">
        <v>0</v>
      </c>
      <c r="V28" s="155">
        <v>0</v>
      </c>
    </row>
    <row r="29" spans="1:22" s="158" customFormat="1" ht="18">
      <c r="A29" s="151"/>
      <c r="B29" s="114" t="s">
        <v>630</v>
      </c>
      <c r="C29" s="151"/>
      <c r="D29" s="156" t="s">
        <v>631</v>
      </c>
      <c r="E29" s="129">
        <f t="shared" si="0"/>
        <v>2099000000</v>
      </c>
      <c r="F29" s="157">
        <f aca="true" t="shared" si="3" ref="F29:M29">SUM(F30:F31)</f>
        <v>0</v>
      </c>
      <c r="G29" s="157">
        <f t="shared" si="3"/>
        <v>0</v>
      </c>
      <c r="H29" s="157">
        <f t="shared" si="3"/>
        <v>0</v>
      </c>
      <c r="I29" s="157">
        <f t="shared" si="3"/>
        <v>0</v>
      </c>
      <c r="J29" s="157">
        <f t="shared" si="3"/>
        <v>0</v>
      </c>
      <c r="K29" s="130">
        <f t="shared" si="3"/>
        <v>2099000000</v>
      </c>
      <c r="L29" s="157">
        <f t="shared" si="3"/>
        <v>0</v>
      </c>
      <c r="M29" s="157">
        <f t="shared" si="3"/>
        <v>0</v>
      </c>
      <c r="N29" s="129">
        <f t="shared" si="2"/>
        <v>2104600000</v>
      </c>
      <c r="O29" s="157">
        <f aca="true" t="shared" si="4" ref="O29:V29">SUM(O30:O31)</f>
        <v>0</v>
      </c>
      <c r="P29" s="157">
        <f t="shared" si="4"/>
        <v>0</v>
      </c>
      <c r="Q29" s="157">
        <f t="shared" si="4"/>
        <v>0</v>
      </c>
      <c r="R29" s="157">
        <f t="shared" si="4"/>
        <v>0</v>
      </c>
      <c r="S29" s="157">
        <f t="shared" si="4"/>
        <v>0</v>
      </c>
      <c r="T29" s="130">
        <f t="shared" si="4"/>
        <v>2104600000</v>
      </c>
      <c r="U29" s="157">
        <f t="shared" si="4"/>
        <v>0</v>
      </c>
      <c r="V29" s="157">
        <f t="shared" si="4"/>
        <v>0</v>
      </c>
    </row>
    <row r="30" spans="1:22" ht="30">
      <c r="A30" s="114"/>
      <c r="B30" s="114"/>
      <c r="C30" s="114" t="s">
        <v>632</v>
      </c>
      <c r="D30" s="125" t="s">
        <v>633</v>
      </c>
      <c r="E30" s="148">
        <f t="shared" si="0"/>
        <v>1542000000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1542000000</v>
      </c>
      <c r="L30" s="133">
        <v>0</v>
      </c>
      <c r="M30" s="133">
        <v>0</v>
      </c>
      <c r="N30" s="148">
        <f t="shared" si="2"/>
        <v>1542000000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1542000000</v>
      </c>
      <c r="U30" s="133">
        <v>0</v>
      </c>
      <c r="V30" s="133">
        <v>0</v>
      </c>
    </row>
    <row r="31" spans="1:22" ht="30">
      <c r="A31" s="114"/>
      <c r="B31" s="114"/>
      <c r="C31" s="114" t="s">
        <v>634</v>
      </c>
      <c r="D31" s="125" t="s">
        <v>635</v>
      </c>
      <c r="E31" s="148">
        <f t="shared" si="0"/>
        <v>557000000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557000000</v>
      </c>
      <c r="L31" s="133">
        <v>0</v>
      </c>
      <c r="M31" s="133">
        <v>0</v>
      </c>
      <c r="N31" s="148">
        <f t="shared" si="2"/>
        <v>562600000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55">
        <v>562600000</v>
      </c>
      <c r="U31" s="133">
        <v>0</v>
      </c>
      <c r="V31" s="133">
        <v>0</v>
      </c>
    </row>
    <row r="32" spans="1:22" ht="18">
      <c r="A32" s="114"/>
      <c r="B32" s="114" t="s">
        <v>636</v>
      </c>
      <c r="C32" s="114"/>
      <c r="D32" s="125" t="s">
        <v>637</v>
      </c>
      <c r="E32" s="148">
        <f t="shared" si="0"/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8">
        <f t="shared" si="2"/>
        <v>3302000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3302000</v>
      </c>
      <c r="U32" s="133">
        <v>0</v>
      </c>
      <c r="V32" s="133">
        <v>0</v>
      </c>
    </row>
    <row r="33" spans="1:22" ht="18">
      <c r="A33" s="114" t="s">
        <v>67</v>
      </c>
      <c r="B33" s="114"/>
      <c r="C33" s="114"/>
      <c r="D33" s="115" t="s">
        <v>38</v>
      </c>
      <c r="E33" s="148">
        <f t="shared" si="0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29">
        <v>0</v>
      </c>
      <c r="N33" s="148">
        <f t="shared" si="2"/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29">
        <v>0</v>
      </c>
    </row>
    <row r="34" spans="1:22" ht="18" customHeight="1">
      <c r="A34" s="222" t="s">
        <v>364</v>
      </c>
      <c r="B34" s="222"/>
      <c r="C34" s="222"/>
      <c r="D34" s="222"/>
      <c r="E34" s="129">
        <f t="shared" si="0"/>
        <v>2450112437</v>
      </c>
      <c r="F34" s="130">
        <f aca="true" t="shared" si="5" ref="F34:M34">F10+F11+F33</f>
        <v>0</v>
      </c>
      <c r="G34" s="130">
        <f t="shared" si="5"/>
        <v>0</v>
      </c>
      <c r="H34" s="130">
        <f t="shared" si="5"/>
        <v>57000000</v>
      </c>
      <c r="I34" s="130">
        <f t="shared" si="5"/>
        <v>0</v>
      </c>
      <c r="J34" s="130">
        <f t="shared" si="5"/>
        <v>0</v>
      </c>
      <c r="K34" s="130">
        <f t="shared" si="5"/>
        <v>2384980000</v>
      </c>
      <c r="L34" s="130">
        <f t="shared" si="5"/>
        <v>0</v>
      </c>
      <c r="M34" s="130">
        <f t="shared" si="5"/>
        <v>8132437</v>
      </c>
      <c r="N34" s="129">
        <f t="shared" si="2"/>
        <v>2661961783</v>
      </c>
      <c r="O34" s="130">
        <f aca="true" t="shared" si="6" ref="O34:V34">O10+O11+O33</f>
        <v>0</v>
      </c>
      <c r="P34" s="130">
        <f t="shared" si="6"/>
        <v>0</v>
      </c>
      <c r="Q34" s="130">
        <f t="shared" si="6"/>
        <v>72576757</v>
      </c>
      <c r="R34" s="130">
        <f t="shared" si="6"/>
        <v>0</v>
      </c>
      <c r="S34" s="130">
        <f t="shared" si="6"/>
        <v>440000</v>
      </c>
      <c r="T34" s="130">
        <f t="shared" si="6"/>
        <v>2580752589</v>
      </c>
      <c r="U34" s="130">
        <f t="shared" si="6"/>
        <v>0</v>
      </c>
      <c r="V34" s="130">
        <f t="shared" si="6"/>
        <v>8192437</v>
      </c>
    </row>
  </sheetData>
  <sheetProtection selectLockedCells="1" selectUnlockedCells="1"/>
  <mergeCells count="17">
    <mergeCell ref="A1:V1"/>
    <mergeCell ref="A3:V3"/>
    <mergeCell ref="A4:V4"/>
    <mergeCell ref="A7:A9"/>
    <mergeCell ref="B7:B9"/>
    <mergeCell ref="C7:C9"/>
    <mergeCell ref="D7:D9"/>
    <mergeCell ref="E7:E9"/>
    <mergeCell ref="F7:M7"/>
    <mergeCell ref="A34:D34"/>
    <mergeCell ref="A2:V2"/>
    <mergeCell ref="N7:N9"/>
    <mergeCell ref="O7:V7"/>
    <mergeCell ref="F8:J8"/>
    <mergeCell ref="K8:M8"/>
    <mergeCell ref="O8:S8"/>
    <mergeCell ref="T8:V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2016-09-02T08:56:31Z</cp:lastPrinted>
  <dcterms:modified xsi:type="dcterms:W3CDTF">2016-09-16T08:36:49Z</dcterms:modified>
  <cp:category/>
  <cp:version/>
  <cp:contentType/>
  <cp:contentStatus/>
</cp:coreProperties>
</file>