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tabRatio="757" firstSheet="4" activeTab="5"/>
  </bookViews>
  <sheets>
    <sheet name="5. melléklet" sheetId="1" r:id="rId1"/>
    <sheet name="5.1. Adósság" sheetId="2" r:id="rId2"/>
    <sheet name="5.1 Évenként" sheetId="3" r:id="rId3"/>
    <sheet name="5.2.Városüzem" sheetId="4" r:id="rId4"/>
    <sheet name="5.3. Zöldterületi kiadások" sheetId="5" r:id="rId5"/>
    <sheet name="5.4. Beruházás" sheetId="6" r:id="rId6"/>
    <sheet name="5.5. Lakásalap" sheetId="7" r:id="rId7"/>
    <sheet name="5.6. Városrendezési tervek" sheetId="8" r:id="rId8"/>
    <sheet name="5.7. Kertség" sheetId="9" r:id="rId9"/>
    <sheet name="5.8. Egészségügyi" sheetId="10" r:id="rId10"/>
    <sheet name="5.9. Népjólét" sheetId="11" r:id="rId11"/>
    <sheet name="5.10. Sportfeladatok" sheetId="12" r:id="rId12"/>
    <sheet name="5.11. Szoc" sheetId="13" r:id="rId13"/>
    <sheet name="5.12. Közművelődés" sheetId="14" r:id="rId14"/>
    <sheet name="5.13. Támogatások" sheetId="15" r:id="rId15"/>
    <sheet name="5.14. Egyéb kiadások" sheetId="16" r:id="rId16"/>
    <sheet name="5.15. Városmarketing" sheetId="17" r:id="rId17"/>
    <sheet name="5.16. Nemzetközi pályázatok" sheetId="18" r:id="rId18"/>
    <sheet name="5.17. Vagyon" sheetId="19" r:id="rId19"/>
    <sheet name="5.18. Nemzetiség" sheetId="20" r:id="rId20"/>
    <sheet name="5.19. Céltartalék" sheetId="21" r:id="rId21"/>
  </sheets>
  <externalReferences>
    <externalReference r:id="rId24"/>
    <externalReference r:id="rId25"/>
  </externalReferences>
  <definedNames>
    <definedName name="_xlfn.AGGREGATE" hidden="1">#NAME?</definedName>
    <definedName name="Excel_BuiltIn_Print_Area" localSheetId="1">'5.1. Adósság'!$A$1:$K$25</definedName>
    <definedName name="Excel_BuiltIn_Print_Area" localSheetId="11">'5.10. Sportfeladatok'!$A$1:$L$26</definedName>
    <definedName name="Excel_BuiltIn_Print_Area" localSheetId="13">'5.12. Közművelődés'!$A$1:$M$50</definedName>
    <definedName name="Excel_BuiltIn_Print_Area" localSheetId="14">'5.13. Támogatások'!$A$1:$M$53</definedName>
    <definedName name="Excel_BuiltIn_Print_Area" localSheetId="15">'5.14. Egyéb kiadások'!$A$1:$L$37</definedName>
    <definedName name="Excel_BuiltIn_Print_Area" localSheetId="17">'5.16. Nemzetközi pályázatok'!$A$1:$L$30</definedName>
    <definedName name="Excel_BuiltIn_Print_Area" localSheetId="19">'5.18. Nemzetiség'!$A$1:$L$22</definedName>
    <definedName name="Excel_BuiltIn_Print_Area" localSheetId="3">'5.2.Városüzem'!$A$1:$L$52</definedName>
    <definedName name="Excel_BuiltIn_Print_Area" localSheetId="6">'5.5. Lakásalap'!$A$1:$L$20</definedName>
    <definedName name="Excel_BuiltIn_Print_Area" localSheetId="8">'5.7. Kertség'!$A$1:$M$41</definedName>
    <definedName name="Excel_BuiltIn_Print_Area" localSheetId="9">'5.8. Egészségügyi'!$A$1:$L$20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11">(#REF!,#REF!)</definedName>
    <definedName name="Excel_BuiltIn_Print_Titles_5_1_1" localSheetId="12">(#REF!,#REF!)</definedName>
    <definedName name="Excel_BuiltIn_Print_Titles_5_1_1" localSheetId="13">(#REF!,#REF!)</definedName>
    <definedName name="Excel_BuiltIn_Print_Titles_5_1_1" localSheetId="14">(#REF!,#REF!)</definedName>
    <definedName name="Excel_BuiltIn_Print_Titles_5_1_1" localSheetId="15">(#REF!,#REF!)</definedName>
    <definedName name="Excel_BuiltIn_Print_Titles_5_1_1" localSheetId="16">(#REF!,#REF!)</definedName>
    <definedName name="Excel_BuiltIn_Print_Titles_5_1_1" localSheetId="17">(#REF!,#REF!)</definedName>
    <definedName name="Excel_BuiltIn_Print_Titles_5_1_1" localSheetId="18">(#REF!,#REF!)</definedName>
    <definedName name="Excel_BuiltIn_Print_Titles_5_1_1" localSheetId="19">(#REF!,#REF!)</definedName>
    <definedName name="Excel_BuiltIn_Print_Titles_5_1_1" localSheetId="20">(#REF!,#REF!)</definedName>
    <definedName name="Excel_BuiltIn_Print_Titles_5_1_1" localSheetId="3">(#REF!,#REF!)</definedName>
    <definedName name="Excel_BuiltIn_Print_Titles_5_1_1" localSheetId="5">(#REF!,#REF!)</definedName>
    <definedName name="Excel_BuiltIn_Print_Titles_5_1_1" localSheetId="6">(#REF!,#REF!)</definedName>
    <definedName name="Excel_BuiltIn_Print_Titles_5_1_1" localSheetId="8">(#REF!,#REF!)</definedName>
    <definedName name="Excel_BuiltIn_Print_Titles_5_1_1" localSheetId="9">(#REF!,#REF!)</definedName>
    <definedName name="Excel_BuiltIn_Print_Titles_5_1_1" localSheetId="10">(#REF!,#REF!)</definedName>
    <definedName name="_xlnm.Print_Titles" localSheetId="0">'5. melléklet'!$5:$9</definedName>
    <definedName name="_xlnm.Print_Titles" localSheetId="2">'5.1 Évenként'!$A:$C</definedName>
    <definedName name="_xlnm.Print_Titles" localSheetId="5">'5.4. Beruházás'!$7:$9</definedName>
    <definedName name="_xlnm.Print_Area" localSheetId="0">'5. melléklet'!$A$1:$U$126</definedName>
    <definedName name="_xlnm.Print_Area" localSheetId="2">'5.1 Évenként'!$A$1:$AN$18</definedName>
    <definedName name="_xlnm.Print_Area" localSheetId="1">'5.1. Adósság'!$A$1:$O$26</definedName>
    <definedName name="_xlnm.Print_Area" localSheetId="11">'5.10. Sportfeladatok'!$A$1:$V$26</definedName>
    <definedName name="_xlnm.Print_Area" localSheetId="12">'5.11. Szoc'!$A$1:$W$29</definedName>
    <definedName name="_xlnm.Print_Area" localSheetId="13">'5.12. Közművelődés'!$A$1:$W$50</definedName>
    <definedName name="_xlnm.Print_Area" localSheetId="14">'5.13. Támogatások'!$A$1:$W$52</definedName>
    <definedName name="_xlnm.Print_Area" localSheetId="15">'5.14. Egyéb kiadások'!$A$1:$V$38</definedName>
    <definedName name="_xlnm.Print_Area" localSheetId="16">'5.15. Városmarketing'!$A$1:$V$24</definedName>
    <definedName name="_xlnm.Print_Area" localSheetId="17">'5.16. Nemzetközi pályázatok'!$A$1:$V$30</definedName>
    <definedName name="_xlnm.Print_Area" localSheetId="18">'5.17. Vagyon'!$A$1:$V$32</definedName>
    <definedName name="_xlnm.Print_Area" localSheetId="19">'5.18. Nemzetiség'!$A$1:$V$22</definedName>
    <definedName name="_xlnm.Print_Area" localSheetId="20">'5.19. Céltartalék'!$A$1:$V$25</definedName>
    <definedName name="_xlnm.Print_Area" localSheetId="3">'5.2.Városüzem'!$A$1:$V$52</definedName>
    <definedName name="_xlnm.Print_Area" localSheetId="4">'5.3. Zöldterületi kiadások'!$A$1:$V$52</definedName>
    <definedName name="_xlnm.Print_Area" localSheetId="5">'5.4. Beruházás'!$A$1:$W$167</definedName>
    <definedName name="_xlnm.Print_Area" localSheetId="6">'5.5. Lakásalap'!$A$1:$V$20</definedName>
    <definedName name="_xlnm.Print_Area" localSheetId="7">'5.6. Városrendezési tervek'!$A$1:$V$21</definedName>
    <definedName name="_xlnm.Print_Area" localSheetId="8">'5.7. Kertség'!$A$1:$W$41</definedName>
    <definedName name="_xlnm.Print_Area" localSheetId="9">'5.8. Egészségügyi'!$A$1:$V$20</definedName>
    <definedName name="_xlnm.Print_Area" localSheetId="10">'5.9. Népjólét'!$A$1:$V$19</definedName>
  </definedNames>
  <calcPr fullCalcOnLoad="1"/>
</workbook>
</file>

<file path=xl/sharedStrings.xml><?xml version="1.0" encoding="utf-8"?>
<sst xmlns="http://schemas.openxmlformats.org/spreadsheetml/2006/main" count="2812" uniqueCount="1557">
  <si>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</si>
  <si>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</si>
  <si>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</si>
  <si>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</si>
  <si>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</si>
  <si>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</si>
  <si>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</si>
  <si>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</si>
  <si>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</si>
  <si>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</si>
  <si>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</si>
  <si>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</si>
  <si>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</si>
  <si>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</si>
  <si>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</si>
  <si>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</si>
  <si>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</si>
  <si>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</si>
  <si>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</si>
  <si>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</si>
  <si>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</si>
  <si>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</si>
  <si>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Cím</t>
  </si>
  <si>
    <t>Feladatcsoport</t>
  </si>
  <si>
    <t>Előirányzat megnevezése</t>
  </si>
  <si>
    <t>Eredeti előirányzat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</si>
  <si>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</si>
  <si>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</si>
  <si>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</si>
  <si>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</si>
  <si>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</si>
  <si>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</si>
  <si>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</si>
  <si>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</si>
  <si>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</si>
  <si>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</si>
  <si>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1.</t>
  </si>
  <si>
    <t>Adósságszolgálat összesen</t>
  </si>
  <si>
    <t>1.1</t>
  </si>
  <si>
    <t>Kötelező feladat</t>
  </si>
  <si>
    <t>1.2</t>
  </si>
  <si>
    <t>Önként vállalt feladat</t>
  </si>
  <si>
    <t>1.3</t>
  </si>
  <si>
    <t>Állami (államigazgatási) feladat</t>
  </si>
  <si>
    <t>2.</t>
  </si>
  <si>
    <t xml:space="preserve">Képviselő-testület működésével, tagjainak díjazásával, valamint a polgármester és az alpolgármesterek tiszteletdíjával és költségtérítéseivel kapcsolatos kiadások összesen </t>
  </si>
  <si>
    <t>2.1</t>
  </si>
  <si>
    <t>2.2</t>
  </si>
  <si>
    <t>2.3</t>
  </si>
  <si>
    <t>3.</t>
  </si>
  <si>
    <t>Városüzemeltetési kiadások összesen</t>
  </si>
  <si>
    <t>3.1</t>
  </si>
  <si>
    <t>3.2</t>
  </si>
  <si>
    <t>3.3</t>
  </si>
  <si>
    <t>4.</t>
  </si>
  <si>
    <t>Zöldterületi kiadások összesen</t>
  </si>
  <si>
    <t>4.1</t>
  </si>
  <si>
    <t>4.2</t>
  </si>
  <si>
    <t>4.3</t>
  </si>
  <si>
    <t>5.</t>
  </si>
  <si>
    <t>Beruházási kiadások összesen</t>
  </si>
  <si>
    <t>5.1</t>
  </si>
  <si>
    <t>5.2</t>
  </si>
  <si>
    <t>5.3</t>
  </si>
  <si>
    <t>6.</t>
  </si>
  <si>
    <t>Önkormányzati tulajdonú lakóingatlanokkal kapcsolatos kiadások összesen</t>
  </si>
  <si>
    <t>6.1</t>
  </si>
  <si>
    <t>6.2</t>
  </si>
  <si>
    <t>6.3</t>
  </si>
  <si>
    <t>7.</t>
  </si>
  <si>
    <t>Városrendezési tervek kiadásai összesen</t>
  </si>
  <si>
    <t>7.1</t>
  </si>
  <si>
    <t>7.2</t>
  </si>
  <si>
    <t>7.3</t>
  </si>
  <si>
    <t>8.</t>
  </si>
  <si>
    <t>Kertségi fejlesztési program összesen</t>
  </si>
  <si>
    <t>8.1</t>
  </si>
  <si>
    <t>8.2</t>
  </si>
  <si>
    <t>8.3</t>
  </si>
  <si>
    <t>9.</t>
  </si>
  <si>
    <t>Köznevelési feladatok  összesen</t>
  </si>
  <si>
    <t>9.1</t>
  </si>
  <si>
    <t>9.2</t>
  </si>
  <si>
    <t>9.3</t>
  </si>
  <si>
    <t>10.</t>
  </si>
  <si>
    <t>Egészségügyi feladatok összesen</t>
  </si>
  <si>
    <t>10.1</t>
  </si>
  <si>
    <t>10.2</t>
  </si>
  <si>
    <t>10.3</t>
  </si>
  <si>
    <t>11.</t>
  </si>
  <si>
    <t>Népjóléti feladatok összesen</t>
  </si>
  <si>
    <t>11.1</t>
  </si>
  <si>
    <t>11.2</t>
  </si>
  <si>
    <t>11.3</t>
  </si>
  <si>
    <t>12.</t>
  </si>
  <si>
    <t>Sportfeladatok és kiemelt sportrendezvények összesen</t>
  </si>
  <si>
    <t>12.1</t>
  </si>
  <si>
    <t>12.2</t>
  </si>
  <si>
    <t>12.3</t>
  </si>
  <si>
    <t>13.</t>
  </si>
  <si>
    <t>Önkormányzat által folyósított ellátások összesen</t>
  </si>
  <si>
    <t>13.1</t>
  </si>
  <si>
    <t>13.2</t>
  </si>
  <si>
    <t>13.3</t>
  </si>
  <si>
    <t>14.</t>
  </si>
  <si>
    <t>Közfoglalkoztatás összesen</t>
  </si>
  <si>
    <t>14.1</t>
  </si>
  <si>
    <t>14.2</t>
  </si>
  <si>
    <t>14.3</t>
  </si>
  <si>
    <t>15.</t>
  </si>
  <si>
    <t>Közművelődési feladatok összesen</t>
  </si>
  <si>
    <t>15.1</t>
  </si>
  <si>
    <t>15.2</t>
  </si>
  <si>
    <t>15.3</t>
  </si>
  <si>
    <t>16.</t>
  </si>
  <si>
    <t>Támogatások összesen</t>
  </si>
  <si>
    <t>16.1</t>
  </si>
  <si>
    <t>16.2</t>
  </si>
  <si>
    <t>16.3</t>
  </si>
  <si>
    <t>17.</t>
  </si>
  <si>
    <t>Környezetvédelmi Alap összesen</t>
  </si>
  <si>
    <t>17.1</t>
  </si>
  <si>
    <t>17.2</t>
  </si>
  <si>
    <t>17.3</t>
  </si>
  <si>
    <t>18.</t>
  </si>
  <si>
    <t>Civil, Kulturális és Ifjúsági "Alap" összesen</t>
  </si>
  <si>
    <t>18.1</t>
  </si>
  <si>
    <t>18.2</t>
  </si>
  <si>
    <t>18.3</t>
  </si>
  <si>
    <t>19.</t>
  </si>
  <si>
    <t>Turisztikai "Alap" összesen</t>
  </si>
  <si>
    <t>19.1</t>
  </si>
  <si>
    <t>19.2</t>
  </si>
  <si>
    <t>19.3</t>
  </si>
  <si>
    <t>20.</t>
  </si>
  <si>
    <t>Gazdaságfejlesztési "Alap" összesen</t>
  </si>
  <si>
    <t>20.1</t>
  </si>
  <si>
    <t>20.2</t>
  </si>
  <si>
    <t>20.3</t>
  </si>
  <si>
    <t>21.</t>
  </si>
  <si>
    <t>Egyéb kiadások összesen</t>
  </si>
  <si>
    <t>21.1</t>
  </si>
  <si>
    <t>21.2</t>
  </si>
  <si>
    <t>21.3</t>
  </si>
  <si>
    <t>22.</t>
  </si>
  <si>
    <t>Városmarketing feladatok összesen</t>
  </si>
  <si>
    <t>22.1</t>
  </si>
  <si>
    <t>22.2</t>
  </si>
  <si>
    <t>22.3</t>
  </si>
  <si>
    <t>23.</t>
  </si>
  <si>
    <t>Nemzetközi és hazai támogatású pályázatok összesen</t>
  </si>
  <si>
    <t>23.1</t>
  </si>
  <si>
    <t>23.2</t>
  </si>
  <si>
    <t>23.3</t>
  </si>
  <si>
    <t>24.</t>
  </si>
  <si>
    <t>Vagyongazdálkodási feladatok összesen</t>
  </si>
  <si>
    <t>24.1</t>
  </si>
  <si>
    <t>24.2</t>
  </si>
  <si>
    <t>24.3</t>
  </si>
  <si>
    <t>25.</t>
  </si>
  <si>
    <t>Nemzetiségi Önkormányzatok működési támogatásai összesen</t>
  </si>
  <si>
    <t>25.1</t>
  </si>
  <si>
    <t>25.2</t>
  </si>
  <si>
    <t>25.3</t>
  </si>
  <si>
    <t>26.</t>
  </si>
  <si>
    <t>Általános tartalék összesen</t>
  </si>
  <si>
    <t>26.1</t>
  </si>
  <si>
    <t>26.2</t>
  </si>
  <si>
    <t>26.3</t>
  </si>
  <si>
    <t>27.</t>
  </si>
  <si>
    <t>Céltartalék összesen</t>
  </si>
  <si>
    <t>27.1</t>
  </si>
  <si>
    <t>27.2</t>
  </si>
  <si>
    <t>27.3</t>
  </si>
  <si>
    <t>Kötelező feladat összesen</t>
  </si>
  <si>
    <t>Önként vállalt feladat összesen</t>
  </si>
  <si>
    <t>Állami (államigazgatási) feladat összesen</t>
  </si>
  <si>
    <t>Adósságszolgálat</t>
  </si>
  <si>
    <t>(5. melléklet 1. cím részletezése)</t>
  </si>
  <si>
    <t>V</t>
  </si>
  <si>
    <t>W</t>
  </si>
  <si>
    <t>X</t>
  </si>
  <si>
    <t>Y</t>
  </si>
  <si>
    <t>Alcím</t>
  </si>
  <si>
    <t>Hitelező, kibocsátó neve</t>
  </si>
  <si>
    <t xml:space="preserve">Hitelszerződés megkötésének időpontja </t>
  </si>
  <si>
    <t>Lejárat</t>
  </si>
  <si>
    <t xml:space="preserve">Devizanem </t>
  </si>
  <si>
    <t xml:space="preserve">Kamatfizetés </t>
  </si>
  <si>
    <t xml:space="preserve">Egyéb költségek </t>
  </si>
  <si>
    <t>Hosszú lejáratú hitelek</t>
  </si>
  <si>
    <t>HUF</t>
  </si>
  <si>
    <t>1-2-16-3800-0278-8</t>
  </si>
  <si>
    <t>OTP Bank Nyrt.</t>
  </si>
  <si>
    <t>Rövid lejáratú hitelek</t>
  </si>
  <si>
    <t>Folyószámla hitel</t>
  </si>
  <si>
    <t>Tájékoztató táblázat az adósságszolgálat kimutatásáról a teljes futamidőre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</si>
  <si>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</si>
  <si>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</si>
  <si>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</si>
  <si>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</si>
  <si>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</si>
  <si>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</si>
  <si>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</si>
  <si>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</si>
  <si>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</si>
  <si>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</si>
  <si>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</si>
  <si>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</si>
  <si>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tőke</t>
  </si>
  <si>
    <t>kamat</t>
  </si>
  <si>
    <t>összesen</t>
  </si>
  <si>
    <t>1.1. Hosszú lejáratú hitelek</t>
  </si>
  <si>
    <t>OTP Bank Nyrt. (1 mrd Ft hitel)</t>
  </si>
  <si>
    <t>2016.</t>
  </si>
  <si>
    <t>2017.</t>
  </si>
  <si>
    <t>1.2. Rövid lejáratú hitelek</t>
  </si>
  <si>
    <t>Összesen:</t>
  </si>
  <si>
    <t>Városüzemeltetési kiadások</t>
  </si>
  <si>
    <t>(5. melléklet 3.cím részletezése)</t>
  </si>
  <si>
    <t>3.1.1</t>
  </si>
  <si>
    <t>Nyílt árokrendszer meder kotrása</t>
  </si>
  <si>
    <t>3.1.2</t>
  </si>
  <si>
    <t>Zárt csatornahálózat mosatása</t>
  </si>
  <si>
    <t>3.1.3</t>
  </si>
  <si>
    <t>Csapadékvíz-elvezető hálózaton végzett munkák</t>
  </si>
  <si>
    <t>3.1.4</t>
  </si>
  <si>
    <t>Tócó élővízfolyás karbantartása</t>
  </si>
  <si>
    <t>3.1.5</t>
  </si>
  <si>
    <t>Csapadékvíz átemelők üzemeltetése</t>
  </si>
  <si>
    <t>3.1.6</t>
  </si>
  <si>
    <t>Belvízvédekezés</t>
  </si>
  <si>
    <t>3.1.7</t>
  </si>
  <si>
    <t>Közterületi beruházásokhoz kapcsolódó előre nem tervezhető kiadások (fedlapok, víznyelőrácsok cseréje)</t>
  </si>
  <si>
    <t>3.1.8</t>
  </si>
  <si>
    <t>3.1.9</t>
  </si>
  <si>
    <t>Közvilágítás üzemeltetése</t>
  </si>
  <si>
    <t>3.1.10</t>
  </si>
  <si>
    <t>Mért rendszerek üzemeltetése</t>
  </si>
  <si>
    <t>3.1.11</t>
  </si>
  <si>
    <t>Közvilágítási lámpatestek beárnyékolásának megszüntetése</t>
  </si>
  <si>
    <t>3.1.12</t>
  </si>
  <si>
    <t>3.1.13</t>
  </si>
  <si>
    <t>Kamerarendszerek üzemeltetése, átépítése, javítása</t>
  </si>
  <si>
    <t>3.1.14</t>
  </si>
  <si>
    <t>3.1.15</t>
  </si>
  <si>
    <t>Hóeltakarítás (I. és IV. negyedév)</t>
  </si>
  <si>
    <t>3.1.16</t>
  </si>
  <si>
    <t>Útburkolat karbantartás, javítás</t>
  </si>
  <si>
    <t>3.1.17</t>
  </si>
  <si>
    <t>Járdaburkolat javítása</t>
  </si>
  <si>
    <t>3.1.18</t>
  </si>
  <si>
    <t>Jelzőtáblák pótlása, kihelyezése</t>
  </si>
  <si>
    <t>3.1.19</t>
  </si>
  <si>
    <t>Útburkolati jelek felfestése</t>
  </si>
  <si>
    <t>3.1.20</t>
  </si>
  <si>
    <t>3.1.21</t>
  </si>
  <si>
    <t>Közös üzemeltetési díj (MK Np. Zrt.-önkormányzati csomópont)</t>
  </si>
  <si>
    <t>3.1.22</t>
  </si>
  <si>
    <t>Parkolási közszolgáltatás ellátásáért fizetendő költségtérítés</t>
  </si>
  <si>
    <t>3.2.1</t>
  </si>
  <si>
    <t xml:space="preserve">Intézményi lámpatestek bérleti díja </t>
  </si>
  <si>
    <t>3.2.2</t>
  </si>
  <si>
    <t>Egyéb kommunális szolgáltatás</t>
  </si>
  <si>
    <t>3.2.3</t>
  </si>
  <si>
    <t>Kártérítések, megbízások, ügyvédi díjak</t>
  </si>
  <si>
    <t>3.2.4</t>
  </si>
  <si>
    <t>Közterületen okozott károk helyreállítása</t>
  </si>
  <si>
    <t>3.2.5</t>
  </si>
  <si>
    <t>Fedett utasvárók javítása</t>
  </si>
  <si>
    <t>3.2.6</t>
  </si>
  <si>
    <t>Lakott külterületek közlekedési költségei</t>
  </si>
  <si>
    <t>3.2.7</t>
  </si>
  <si>
    <t>Buszöblök és peronok javítása</t>
  </si>
  <si>
    <t>3.2.8</t>
  </si>
  <si>
    <t>Tervezési feladatok</t>
  </si>
  <si>
    <t>3.2.9</t>
  </si>
  <si>
    <t>Előre nem tervezhető közlekedési feladatok</t>
  </si>
  <si>
    <t>3.2.10</t>
  </si>
  <si>
    <t>Új kijelölt gyalogátkelőhelyek kialakítása</t>
  </si>
  <si>
    <t>3.2.11</t>
  </si>
  <si>
    <t>Meglevő kijelölt gyalogosátkelőhelyek megvilágításának felülvizsgálata</t>
  </si>
  <si>
    <t>3.2.12</t>
  </si>
  <si>
    <t>Kerékpár tárolók kihelyezése</t>
  </si>
  <si>
    <t>3.2.13</t>
  </si>
  <si>
    <t>Parkolójavítás</t>
  </si>
  <si>
    <t>Összesen</t>
  </si>
  <si>
    <t>Zöldterületi kiadások</t>
  </si>
  <si>
    <t>(5. melléklet 4.cím részletezése)</t>
  </si>
  <si>
    <t>4.1.1</t>
  </si>
  <si>
    <t>4.1.2</t>
  </si>
  <si>
    <t>4.1.3</t>
  </si>
  <si>
    <t>Nagyerdei Parkerdő vagyonvédelmi feladata</t>
  </si>
  <si>
    <t>4.1.4</t>
  </si>
  <si>
    <t>Növényvédelem</t>
  </si>
  <si>
    <t>4.1.5</t>
  </si>
  <si>
    <t>4.1.6</t>
  </si>
  <si>
    <t>Temetők és emlékművek fenntartása</t>
  </si>
  <si>
    <t>4.1.8</t>
  </si>
  <si>
    <t>Patkánymentesítés</t>
  </si>
  <si>
    <t>4.1.9</t>
  </si>
  <si>
    <t>4.1.10</t>
  </si>
  <si>
    <t>4.2.1</t>
  </si>
  <si>
    <t>Szúnyogirtás</t>
  </si>
  <si>
    <t>4.2.2</t>
  </si>
  <si>
    <t>4.2.3</t>
  </si>
  <si>
    <t>Tiszta Virágos Debrecenért</t>
  </si>
  <si>
    <t>4.2.4</t>
  </si>
  <si>
    <t>Fasorrekonstrukció</t>
  </si>
  <si>
    <t>4.2.5</t>
  </si>
  <si>
    <t>4.2.6</t>
  </si>
  <si>
    <t>Parktáblázás program</t>
  </si>
  <si>
    <t>4.2.7</t>
  </si>
  <si>
    <t>4.2.8</t>
  </si>
  <si>
    <t>LIFE IP HUNGAirY</t>
  </si>
  <si>
    <t>4.2.9</t>
  </si>
  <si>
    <t>4.2.10</t>
  </si>
  <si>
    <t>4.3.1</t>
  </si>
  <si>
    <t>Beruházási kiadások</t>
  </si>
  <si>
    <t>(5. melléklet 5. cím részletezése)</t>
  </si>
  <si>
    <t>Jogcím</t>
  </si>
  <si>
    <t>TOP-6.1.1-15 Ipari parkok, iparterületek fejlesztése</t>
  </si>
  <si>
    <t xml:space="preserve">TOP-6.1.1-15-DE1-2016-00001 Debrecen déli gazdasági övezet infrastruktúrájának fejlesztése </t>
  </si>
  <si>
    <t>TOP-6.1.3-15 Helyi gazdaságfejlesztés</t>
  </si>
  <si>
    <t>TOP-6.1.3-15-DE1-2016-00001 Szabadtéri piac létesítése a Tócóskertben</t>
  </si>
  <si>
    <t xml:space="preserve">TOP-6.1.5-15-DE1-2016-00001 Az egykori Magyar Gördülőcsapágy Művek helyén lévő gazdasági terület jobb megközelíthetőségének biztosítása </t>
  </si>
  <si>
    <t xml:space="preserve"> TOP-6.2.1-15-DE1-2016-00001 A Nagyerdei Óvoda felújítása</t>
  </si>
  <si>
    <t>TOP-6.2.1-15-DE1-2016-00002 A Boldogfalva Óvoda Manninger Gusztáv Utcai Telephelyének felújítása</t>
  </si>
  <si>
    <t>TOP-6.2.1-15-DE1-2016-00007 Eszközök beszerzése a Debrecen Megyei Jogú Város Egyesített Bölcsődei Intézménye Faraktár Utcai Tagintézmény és Görgey Utcai Tagintézmény számára</t>
  </si>
  <si>
    <t>TOP-6.2.1-15-DE1-2016-00008  Az Alsójózsai Kerekerdő Óvoda felújítása</t>
  </si>
  <si>
    <t>TOP-6.2.1-15-DE1-2016-00010 Debrecen Megyei Jogú Város Egyesített Bölcsődei Intézmény Ősz Utcai Tagintézmény és a Mosolykert Óvoda felújítása</t>
  </si>
  <si>
    <t>TOP-6.2.1-15-DE1-2016-00011 Debrecen Megyei Jogú Város Egyesített Bölcsődei Intézménye Gáborjáni Szabó Kálmán Utcai Tagintézmény felújítása</t>
  </si>
  <si>
    <t>TOP-6.2.1-15-DE1-2016-00012 Debrecen Megyei Jogú Város Egyesített Bölcsődei Intézménye Karácsony György Utcai Tagintézmény felújítása</t>
  </si>
  <si>
    <t>TOP-6.3.2-15 Zöld város kialakítása</t>
  </si>
  <si>
    <t>TOP-6.3.2.-15-DE1-2016-00001 A Vénkert gazdaságélénkítő környezeti megújítása"</t>
  </si>
  <si>
    <t>TOP-6.3.2.-15-DE1-2016-00002. Debrecen Belvárosának innovatív rekonstrukciója"</t>
  </si>
  <si>
    <t>TOP-6.3.2.-15-DE1-2016-00003 A Dobozi lakótelep gazdaságélénkítő környezeti megújítása"</t>
  </si>
  <si>
    <t>TOP-6.3.2.-15-DE1-2016-00004 A Libakert gazdaságélénkítő környezeti megújítása"</t>
  </si>
  <si>
    <t>TOP-6.3.2.-15-DE1-2016-00005 A Sestakert gazdaságélénkítő környezeti megújítása"</t>
  </si>
  <si>
    <t>TOP-6.3.2.-15-DE1-2016-00006. "Az Újkert gazdaságélénkítő környezeti megújítása"</t>
  </si>
  <si>
    <t>TOP-6.4.1-15 Fenntartható városi közlekedésfejlesztés</t>
  </si>
  <si>
    <t>TOP-6.4.1-15-DE1-2016-00002 A belváros forgalomtechnikájának javítása és kerékpárosbaráttá tétele</t>
  </si>
  <si>
    <t>TOP-6.4.1-15-DE1-2016-00003 Nyugati városrész forgalomszervezése és kerékpárút kialakítása</t>
  </si>
  <si>
    <t>TOP-6.4.1-15-DE1-2016-00004  Északi városrész forgalomszervezése és kerékpárút kialakítása</t>
  </si>
  <si>
    <t>TOP-6.5.1-15 Önkormányzati épületek energetikai korszerűsítése</t>
  </si>
  <si>
    <t>TOP-6.5.1-15-DE1-2016-00004 A Zenede energetikai korszerűsítése</t>
  </si>
  <si>
    <t>TOP-6.5.1-15-DE1-2016-00005 A Lehel Utcai Óvoda épületének energetikai korszerűsítése</t>
  </si>
  <si>
    <t>TOP-6.5.1-15-DE1-2016-00006 A Közép Utcai Óvoda épületének energetikai korszerűsítése</t>
  </si>
  <si>
    <t>TOP-6.5.1-15-DE1-2016-00007 A Lilla Téri Általános Iskola épületének energetikai korszerűsítése</t>
  </si>
  <si>
    <t>TOP-6.5.1-15-DE1-2016-00011 A József Attila-telepi Könyvtár épületének energetikai korszerűsítése</t>
  </si>
  <si>
    <t>TOP-6.5.1-15-DE1-2016-00013 Az egykori megyei könyvtár épületének energetikai korszerűsítése</t>
  </si>
  <si>
    <t>TOP-6.5.1-15-DE1-2016-00014 A Boldogfalva Óvoda épületének energetikai korszerűsítése</t>
  </si>
  <si>
    <t>TOP-6.5.1-15-DE1-2016-00015 A Fazekas Mihály Gimnázium Tóth Árpád utcai épületének energetikai korszerűsítése</t>
  </si>
  <si>
    <t>TOP-6.5.1-15-DE1-2016-00017 Az Ondódi Közösségi Ház épületének energetikai korszerűsítése</t>
  </si>
  <si>
    <t>TOP-6.5.1-15-DE1-2016-00019 A Szivárvány Óvoda épületének energetikai korszerűsítése</t>
  </si>
  <si>
    <t>TOP-6.6.1-15-DE1-2016-00001 Debrecen, Füredi út 42. sz. alatti háziorvosi és fogorvosi alapellátás infrastrukturális fejlesztése</t>
  </si>
  <si>
    <t>TOP-6.6.1-15-DE1-2016-00006 Debrecen, Szabó Pál utca 61-63. sz. alatti egészségügyi alapellátás infrastrukturális fejlesztése</t>
  </si>
  <si>
    <t>TOP-6.6.1-15-DE1-2016-00011 Debrecen, Bajcsy-Zsilinszky utca 32. sz. alatti házi gyermekorvosi és védőnői alapellátás infrastrukturális fejlesztése</t>
  </si>
  <si>
    <t>TOP 6.6.2-15-DE1-2016-00001 Családsegítő és Gyermekjóléti Központ infrastrukturális fejlesztése Debrecenben</t>
  </si>
  <si>
    <t xml:space="preserve">Modern Városok Program, Debreceni Nemzetközi Repülőtér technikai fejlesztése </t>
  </si>
  <si>
    <t>Modern Városok Program, Angol nyelvű alap- és középfokú oktatási intézmény létrehozása</t>
  </si>
  <si>
    <t>Modern Városok Program, A debreceni Nagyerdő program befejezése, fürdőfejlesztés</t>
  </si>
  <si>
    <t>Egyéb, nem pályázati forrásból megvalósuló beruházások</t>
  </si>
  <si>
    <t>Térfigyelő kamerarendszer kiépítése Debrecenben</t>
  </si>
  <si>
    <t>Eu-s pályázatokkal kapcsolatban év közben felmerülő költségek</t>
  </si>
  <si>
    <t>Hatósági díjak, beruházásokhoz kapcsolódó közmű számlák</t>
  </si>
  <si>
    <t>Tervezés, szakértés, intézmények állapotfelmérése és tervezési koncepció kialakítása</t>
  </si>
  <si>
    <t>ISPA eszközök felújítása, pótlása</t>
  </si>
  <si>
    <t>Ifjúsági ház előadó terem hangszigetelési és klimatizálási beruházási munkái</t>
  </si>
  <si>
    <t>Önkormányzati tulajdonú épületekkel kapcsolatban az év közben felmerülő kiadások</t>
  </si>
  <si>
    <t>Mobil jégpálya kialakítása</t>
  </si>
  <si>
    <t>(5. melléklet 6. cím részletezése)</t>
  </si>
  <si>
    <t>6.1.1</t>
  </si>
  <si>
    <t>Önkormányzati tulajdonú társasházi lakások után fizetendő társasházi közös költség</t>
  </si>
  <si>
    <t>6.1.2</t>
  </si>
  <si>
    <t>Panelprogram önkormányzatot terhelő önrésze</t>
  </si>
  <si>
    <t>6.1.3</t>
  </si>
  <si>
    <t>Cívis Ház Zrt. által a lakásértékesítés bevételéből levonható költség</t>
  </si>
  <si>
    <t>6.1.4</t>
  </si>
  <si>
    <t>Önkormányzati tulajdonú lakóingatlanok felújítása</t>
  </si>
  <si>
    <t>6.1.5</t>
  </si>
  <si>
    <t>Bérlakások gázvezeték és gázkészülék műszaki biztonsági felülvizsgálata</t>
  </si>
  <si>
    <t>6.1.6</t>
  </si>
  <si>
    <t>Városrehabilitáció</t>
  </si>
  <si>
    <t>6.1.7</t>
  </si>
  <si>
    <t>Tartalék</t>
  </si>
  <si>
    <t>Kertségi fejlesztési program</t>
  </si>
  <si>
    <t>(5. melléklet 8. cím részletezése)</t>
  </si>
  <si>
    <t>8.2.1</t>
  </si>
  <si>
    <t>8.2.2</t>
  </si>
  <si>
    <t>8.2.3</t>
  </si>
  <si>
    <t>Közlekedési csomópontok akadálymentesítése</t>
  </si>
  <si>
    <t>8.2.4</t>
  </si>
  <si>
    <t>Közlekedési jelzőlámpák program módosítás</t>
  </si>
  <si>
    <t>8.2.5</t>
  </si>
  <si>
    <t>Útstabilizáció</t>
  </si>
  <si>
    <t>8.2.6</t>
  </si>
  <si>
    <t>8.2.7</t>
  </si>
  <si>
    <t>Közvilágítási hálózat bővítése</t>
  </si>
  <si>
    <t>8.2.8</t>
  </si>
  <si>
    <t>Csapadékvíz-elvezető csatornák vízjogi engedélyezése</t>
  </si>
  <si>
    <t>8.2.9</t>
  </si>
  <si>
    <t>8.2.10</t>
  </si>
  <si>
    <t>8.2.11</t>
  </si>
  <si>
    <t>8.2.12</t>
  </si>
  <si>
    <t>Csapadékvíz befogadók rekonstrukciója</t>
  </si>
  <si>
    <t>8.2.13</t>
  </si>
  <si>
    <t>8.2.14</t>
  </si>
  <si>
    <t>8.2.15</t>
  </si>
  <si>
    <t>8.2.16</t>
  </si>
  <si>
    <t>Környezetvédelmi hatósági kötelezések</t>
  </si>
  <si>
    <t>8.2.17</t>
  </si>
  <si>
    <t>Városüzemeltetéshez kapcsolódó beruházási előirányzat</t>
  </si>
  <si>
    <t>8.2.18</t>
  </si>
  <si>
    <t>8.2.19</t>
  </si>
  <si>
    <t>TOP-6.1.4-15-DE1-2016-00001 Turisztikai célú kerékpárút fejlesztése Biczó István kert és a Panoráma út között</t>
  </si>
  <si>
    <t>TOP-6.4.1-15-DE1-2016-00005 Kismacsra vezető kerékpárút kialakítása</t>
  </si>
  <si>
    <t>Önkormányzati forrásból megvalósuló út-, közmű-, járdaépítés</t>
  </si>
  <si>
    <t>Egészségügyi feladatok</t>
  </si>
  <si>
    <t>(5. melléklet 10. cím részletezése)</t>
  </si>
  <si>
    <t>10.1.1</t>
  </si>
  <si>
    <t>10.1.2</t>
  </si>
  <si>
    <t>Foglalkozás-egészségügyi alapszolgáltatás</t>
  </si>
  <si>
    <t>10.1.3</t>
  </si>
  <si>
    <t>10.1.4</t>
  </si>
  <si>
    <t>10.1.5</t>
  </si>
  <si>
    <t>10.1.6</t>
  </si>
  <si>
    <t>10.2.1</t>
  </si>
  <si>
    <t xml:space="preserve"> </t>
  </si>
  <si>
    <t>Népjóléti feladatok</t>
  </si>
  <si>
    <t>(5. melléklet 11. cím részletezése)</t>
  </si>
  <si>
    <t>11.1.1</t>
  </si>
  <si>
    <t>Hátrányos helyzetű gyermekek hétvégi étkeztetésének megvalósítása a Magyar Máltai Szeretetszolgálat Debreceni Csoportja által</t>
  </si>
  <si>
    <t>11.1.3</t>
  </si>
  <si>
    <t>Hátrányos helyzetű gyermekek nyári üdültetése</t>
  </si>
  <si>
    <t>11.2.1</t>
  </si>
  <si>
    <t>Bursa Hungarica Felsőoktatási Önkormányzati Ösztöndíjpályázat</t>
  </si>
  <si>
    <t>11.2.2</t>
  </si>
  <si>
    <t>Sportfeladatok és kiemelt sportrendezvények</t>
  </si>
  <si>
    <t>(5. melléklet 12. cím részletezése)</t>
  </si>
  <si>
    <t>12.1.1</t>
  </si>
  <si>
    <t>Diáksport versenyek támogatása</t>
  </si>
  <si>
    <t>12.1.2</t>
  </si>
  <si>
    <t>Szakszövetségi versenyek támogatása</t>
  </si>
  <si>
    <t>12.1.3</t>
  </si>
  <si>
    <t>Kiemelt sportrendezvények szervezése, támogatása</t>
  </si>
  <si>
    <t>12.1.4</t>
  </si>
  <si>
    <t>Szabadidősport</t>
  </si>
  <si>
    <t>12.1.5</t>
  </si>
  <si>
    <t>12.2.1</t>
  </si>
  <si>
    <t>Sportuszoda használat támogatása</t>
  </si>
  <si>
    <t>12.2.2</t>
  </si>
  <si>
    <t>Békessy Béla Sport ösztöndíj</t>
  </si>
  <si>
    <t>12.2.3</t>
  </si>
  <si>
    <t>12.2.4</t>
  </si>
  <si>
    <t>Önkormányzat által folyósított ellátások</t>
  </si>
  <si>
    <t>(5. melléklet 13. cím részletezése)</t>
  </si>
  <si>
    <t>13.1.1</t>
  </si>
  <si>
    <t>Települési támogatás</t>
  </si>
  <si>
    <t>13.1.1.1</t>
  </si>
  <si>
    <t>Lakásfenntartási támogatás</t>
  </si>
  <si>
    <t>13.1.1.2</t>
  </si>
  <si>
    <t>Adósságcsökkentési támogatás</t>
  </si>
  <si>
    <t>13.1.1.3</t>
  </si>
  <si>
    <t>13.1.1.4</t>
  </si>
  <si>
    <t>Temetési támogatás</t>
  </si>
  <si>
    <t>13.1.2</t>
  </si>
  <si>
    <t>Települési támogatás (természetbeni)</t>
  </si>
  <si>
    <t>13.1.2.1</t>
  </si>
  <si>
    <t>Iskolakezdési támogatás</t>
  </si>
  <si>
    <t>13.1.2.2</t>
  </si>
  <si>
    <t>Gyógyszertámogatás</t>
  </si>
  <si>
    <t>13.1.2.3</t>
  </si>
  <si>
    <t>Kelengye támogatás</t>
  </si>
  <si>
    <t>13.1.2.4</t>
  </si>
  <si>
    <t>Rászorultsági térítési díj</t>
  </si>
  <si>
    <t>13.1.3</t>
  </si>
  <si>
    <t>Köztemetés</t>
  </si>
  <si>
    <t>13.1.4</t>
  </si>
  <si>
    <t>13.2.1</t>
  </si>
  <si>
    <t>70 éven felüliek hulladékgazdálkodási közszolgáltatási díjtámogatása</t>
  </si>
  <si>
    <t>13.2.2</t>
  </si>
  <si>
    <t>Gyógyfürdő támogatás</t>
  </si>
  <si>
    <t>13.2.3</t>
  </si>
  <si>
    <t>Tehetséges tanulók támogatása</t>
  </si>
  <si>
    <t>Közművelődési feladatok</t>
  </si>
  <si>
    <t>15.1.1</t>
  </si>
  <si>
    <t>Városi szintű rendezvények, kulturális közösségi programok, városrészi rendezvények</t>
  </si>
  <si>
    <t>15.1.2</t>
  </si>
  <si>
    <t>Szakértők, művészek eseti megbízási díja</t>
  </si>
  <si>
    <t>15.1.3</t>
  </si>
  <si>
    <t>15.1.4</t>
  </si>
  <si>
    <t>15.1.5</t>
  </si>
  <si>
    <t>Kiemelt gyermek- és ifjúsági kulturális rendezvények</t>
  </si>
  <si>
    <t>15.1.6</t>
  </si>
  <si>
    <t>Antal-Lusztig gyűjteménnyel kapcsolatos költségek</t>
  </si>
  <si>
    <t>15.1.7</t>
  </si>
  <si>
    <t>Debreceni Nyári Egyetem támogatása</t>
  </si>
  <si>
    <t>15.1.8</t>
  </si>
  <si>
    <t>Közművelődési támogatások (az ellátatlan városrészek közösségi színtereinek működtetése)</t>
  </si>
  <si>
    <t>15.1.9</t>
  </si>
  <si>
    <t>Kölcsey Ferenc ösztöndíj</t>
  </si>
  <si>
    <t>15.1.10</t>
  </si>
  <si>
    <t>Debreceni Értéktár Bizottság működésével kapcsolatos kiadások</t>
  </si>
  <si>
    <t>15.1.11</t>
  </si>
  <si>
    <t>15.1.12</t>
  </si>
  <si>
    <t>15.1.13</t>
  </si>
  <si>
    <t>15.1.14</t>
  </si>
  <si>
    <t>15.1.15</t>
  </si>
  <si>
    <t>Alapítványok önkormányzati támogatása</t>
  </si>
  <si>
    <t>Alföld Alapítvány támogatása</t>
  </si>
  <si>
    <t>Debrecen Kultúrájáért Alapítvány támogatása</t>
  </si>
  <si>
    <t>Őrváros Debrecen Közalapítvány támogatása</t>
  </si>
  <si>
    <t>Tehetséges Debreceni Fiatalokért Közalapítvány támogatása</t>
  </si>
  <si>
    <t>Támogatások</t>
  </si>
  <si>
    <t>(5. melléklet 16. cím részletezése)</t>
  </si>
  <si>
    <t>16.1.1</t>
  </si>
  <si>
    <t>Önkormányzati, illetve részben önkormányzati tulajdonban lévő vállalkozások támogatása összesen</t>
  </si>
  <si>
    <t>16.1.1.1</t>
  </si>
  <si>
    <t>16.1.1.3</t>
  </si>
  <si>
    <t>Debreceni Ifjúsági Nonprofit Kft. támogatása</t>
  </si>
  <si>
    <t>16.1.1.4</t>
  </si>
  <si>
    <t>Debreceni Sportcentrum Közhasznú Nonprofit Kft. támogatása</t>
  </si>
  <si>
    <t>16.1.1.5</t>
  </si>
  <si>
    <t>Debreceni Sportcentrum Közhasznú Nonprofit Kft. támogatása (versenysport támogatása)</t>
  </si>
  <si>
    <t>16.1.1.6</t>
  </si>
  <si>
    <t>16.1.1.7</t>
  </si>
  <si>
    <t>16.1.1.8</t>
  </si>
  <si>
    <t>EDC Debrecen Nonprofit Kft. támogatása</t>
  </si>
  <si>
    <t>16.1.1.9</t>
  </si>
  <si>
    <t>16.1.1.10</t>
  </si>
  <si>
    <t>Főnix Rendezvényszervező Közhasznú Nonprofit Kft. támogatása</t>
  </si>
  <si>
    <t>16.1.1.11</t>
  </si>
  <si>
    <t>"NAGYERDEI KULTÚRPARK" Nonprofit Kft. támogatása</t>
  </si>
  <si>
    <t>16.2.1</t>
  </si>
  <si>
    <t>Sportszervezetek támogatásai összesen</t>
  </si>
  <si>
    <t>16.2.1.1</t>
  </si>
  <si>
    <t>16.2.1.2</t>
  </si>
  <si>
    <t>16.2.1.3</t>
  </si>
  <si>
    <t>16.2.1.4</t>
  </si>
  <si>
    <t>16.2.1.5</t>
  </si>
  <si>
    <t>Cívis Póló Vízilabda Sportegyesület támogatása</t>
  </si>
  <si>
    <t>16.2.2</t>
  </si>
  <si>
    <t>Egyéb támogatások</t>
  </si>
  <si>
    <t>16.2.2.1</t>
  </si>
  <si>
    <t>Polgárőr szövetségek támogatása</t>
  </si>
  <si>
    <t>16.2.2.2</t>
  </si>
  <si>
    <t>16.2.2.3</t>
  </si>
  <si>
    <t>16.2.2.4</t>
  </si>
  <si>
    <t>Nagyerdei Stadion Rekonstrukciós Kft. támogatása</t>
  </si>
  <si>
    <t>16.2.2.5</t>
  </si>
  <si>
    <t>16.2.2.6</t>
  </si>
  <si>
    <t>Kárpátaljai települések és szervezetek támogatása</t>
  </si>
  <si>
    <t>16.2.3</t>
  </si>
  <si>
    <t>Tagdíjak összesen</t>
  </si>
  <si>
    <t>16.2.3.1</t>
  </si>
  <si>
    <t>Megyei Jogú Városok Szövetsége</t>
  </si>
  <si>
    <t>16.2.3.2</t>
  </si>
  <si>
    <t xml:space="preserve">Debreceni Agglomeráció Hulladékgazdálkodási Társulás (hozzájárulás) </t>
  </si>
  <si>
    <t>16.2.3.3</t>
  </si>
  <si>
    <t>Városok-Falvak Szövetsége</t>
  </si>
  <si>
    <t>16.2.3.4</t>
  </si>
  <si>
    <t>Bihari Szilárd Hulladéklerakó és Hasznosító Társulás munkaszervezeti feladatainak ellátásához tagi hozzájárulás</t>
  </si>
  <si>
    <t>16.2.3.5</t>
  </si>
  <si>
    <t>Dél-Nyírség, Erdőspuszták Leader Egyesület</t>
  </si>
  <si>
    <t>16.2.3.6</t>
  </si>
  <si>
    <t>Vásárszövetség tagdíj</t>
  </si>
  <si>
    <t>Egyéb kiadások</t>
  </si>
  <si>
    <t>(5. melléklet 21. cím részletezése)</t>
  </si>
  <si>
    <t>21.1.1</t>
  </si>
  <si>
    <t>21.1.2</t>
  </si>
  <si>
    <t>Számlavezetés költségei</t>
  </si>
  <si>
    <t>21.1.3</t>
  </si>
  <si>
    <t>Áfa befizetés</t>
  </si>
  <si>
    <t>21.1.4</t>
  </si>
  <si>
    <t>21.1.5</t>
  </si>
  <si>
    <t>Megbízási díjak</t>
  </si>
  <si>
    <t>21.1.6</t>
  </si>
  <si>
    <t>21.1.7</t>
  </si>
  <si>
    <t>21.1.8</t>
  </si>
  <si>
    <t>21.1.9</t>
  </si>
  <si>
    <t>Lakossági ivóvíz szolgáltatás támogatása</t>
  </si>
  <si>
    <t>21.1.10</t>
  </si>
  <si>
    <t>Elismerő címek, díjak és kitüntetések</t>
  </si>
  <si>
    <t>21.1.11</t>
  </si>
  <si>
    <t>Normatív állami támogatások elszámolása</t>
  </si>
  <si>
    <t>21.1.12</t>
  </si>
  <si>
    <t xml:space="preserve">Közbeszerzési eljárások közzétételi díja </t>
  </si>
  <si>
    <t>21.1.13</t>
  </si>
  <si>
    <t>Kisgyermekes bérlet kedvezmény bevételkiesésének fedezete</t>
  </si>
  <si>
    <t>21.1.14</t>
  </si>
  <si>
    <t>21.1.15</t>
  </si>
  <si>
    <t>21.1.16</t>
  </si>
  <si>
    <t>Széchenyi terves lakások üzemeltetésével kapcsolatos kiadások (pénzforgalom nélküli)</t>
  </si>
  <si>
    <t>21.1.17</t>
  </si>
  <si>
    <t xml:space="preserve">Debreceni Viziközmű Társulat </t>
  </si>
  <si>
    <t>21.1.18</t>
  </si>
  <si>
    <t>21.1.19</t>
  </si>
  <si>
    <t>Helyi adóval összefüggő igazgatási és végrehajtási díjak, költségek</t>
  </si>
  <si>
    <t>21.1.20</t>
  </si>
  <si>
    <t>Önkormányzati társasági tulajdonrészekkel kapcsolatos költségek</t>
  </si>
  <si>
    <t>21.1.21</t>
  </si>
  <si>
    <t>Jogi oltalmakhoz kapcsolódó megbízási díjak, és jogi, végrehajtási eljárásokban felmerülő költségek</t>
  </si>
  <si>
    <t>21.1.22</t>
  </si>
  <si>
    <t>Helyi önkormányzatok szolidaritási hozzájárulása</t>
  </si>
  <si>
    <t>Műsoridő vásárlás</t>
  </si>
  <si>
    <t>21.3.1</t>
  </si>
  <si>
    <t>Honvédelem, polgári védelem, katasztrófavédelem</t>
  </si>
  <si>
    <t>Városmarketing feladatok</t>
  </si>
  <si>
    <t>(5. melléklet 22. cím részletezése)</t>
  </si>
  <si>
    <t>22.2.1</t>
  </si>
  <si>
    <t>Média-megjelenések és kiadványok</t>
  </si>
  <si>
    <t>22.2.2</t>
  </si>
  <si>
    <t>22.2.3</t>
  </si>
  <si>
    <t>Idegenforgalmi feladatok</t>
  </si>
  <si>
    <t>22.2.4</t>
  </si>
  <si>
    <t>Díszkivilágítás</t>
  </si>
  <si>
    <t>22.2.5</t>
  </si>
  <si>
    <t>Állampolgársági eskütétellel kapcsolatos feladatok</t>
  </si>
  <si>
    <t>22.2.6</t>
  </si>
  <si>
    <t>Gazdaságszervezési, gazdaságfejlesztési feladatok</t>
  </si>
  <si>
    <t>22.2.7</t>
  </si>
  <si>
    <t>Informatikai feladatok</t>
  </si>
  <si>
    <t>22.2.8</t>
  </si>
  <si>
    <t>22.2.9</t>
  </si>
  <si>
    <t>Nemzetközi kapcsolatok</t>
  </si>
  <si>
    <t>22.2.10</t>
  </si>
  <si>
    <t>Hortobágyi lovasnapok</t>
  </si>
  <si>
    <t>22.2.11</t>
  </si>
  <si>
    <t>Nemzetközi és hazai támogatású pályázatok</t>
  </si>
  <si>
    <t>(5. melléklet 23. cím részletezése)</t>
  </si>
  <si>
    <t>23.1.1</t>
  </si>
  <si>
    <t>23.1.2</t>
  </si>
  <si>
    <t>TOP-6.8.2-15 Foglalkoztatási paktum kialakítása</t>
  </si>
  <si>
    <t>23.1.3</t>
  </si>
  <si>
    <t>TOP-6.9.1-15 Társadalmi együttműködés erősítés Nagymacs városrészen</t>
  </si>
  <si>
    <t>23.1.4</t>
  </si>
  <si>
    <t>23.1.5</t>
  </si>
  <si>
    <t>23.1.6</t>
  </si>
  <si>
    <t>Év közben induló pályázatok</t>
  </si>
  <si>
    <t>23.1.7</t>
  </si>
  <si>
    <t>Nemzetiségi Önkormányzatok működési támogatása</t>
  </si>
  <si>
    <t>(5. melléklet 25. cím részletezése)</t>
  </si>
  <si>
    <t>25.2.1</t>
  </si>
  <si>
    <t>DMJV Bolgár Nemzetiségi Önkormányzat működési támogatása</t>
  </si>
  <si>
    <t>25.2.2</t>
  </si>
  <si>
    <t>DMJV Roma Nemzetiségi Önkormányzat működési támogatása</t>
  </si>
  <si>
    <t>25.2.3</t>
  </si>
  <si>
    <t>DMJV Örmény Nemzetiségi Önkormányzat működési támogatása</t>
  </si>
  <si>
    <t>25.2.4</t>
  </si>
  <si>
    <t>DMJV Német Nemzetiségi Önkormányzat működési támogatása</t>
  </si>
  <si>
    <t>25.2.5</t>
  </si>
  <si>
    <t>DMJV Román Nemzetiségi Önkormányzat működési támogatása</t>
  </si>
  <si>
    <t>25.2.6</t>
  </si>
  <si>
    <t>DMJV Ruszin Nemzetiségi  Önkormányzat működési támogatása</t>
  </si>
  <si>
    <t>25.2.7</t>
  </si>
  <si>
    <t>DMJV Görög Nemzetiségi  Önkormányzat működési támogatása</t>
  </si>
  <si>
    <t>Céltartalék</t>
  </si>
  <si>
    <t>(5. melléklet 27. cím részletezése)</t>
  </si>
  <si>
    <t>27.1.1</t>
  </si>
  <si>
    <t>27.1.2</t>
  </si>
  <si>
    <t>27.1.3</t>
  </si>
  <si>
    <t>27.1.4</t>
  </si>
  <si>
    <t>Megyei Könyvtár Kistelepülési könyvtári célú kiegészítő támogatása</t>
  </si>
  <si>
    <t>27.1.5</t>
  </si>
  <si>
    <t>27.1.6</t>
  </si>
  <si>
    <t>27.1.7</t>
  </si>
  <si>
    <t>Költségvetési intézményeket érintő évközi feladatok</t>
  </si>
  <si>
    <t>27.1.8</t>
  </si>
  <si>
    <t>Központi kezelésű feladatok évközi többletfeladatai</t>
  </si>
  <si>
    <t>27.1.9</t>
  </si>
  <si>
    <t>Érdekeltségnövelő támogatás (önrész)</t>
  </si>
  <si>
    <t>27.1.10</t>
  </si>
  <si>
    <t>Kubinyi Ágoston program (önrész)</t>
  </si>
  <si>
    <t>23.1.8</t>
  </si>
  <si>
    <t>23.1.9</t>
  </si>
  <si>
    <t>23.1.10</t>
  </si>
  <si>
    <t>23.1.11</t>
  </si>
  <si>
    <t>23.1.12</t>
  </si>
  <si>
    <t>23.1.13</t>
  </si>
  <si>
    <t>23.1.14</t>
  </si>
  <si>
    <t>TOP-6.9.2-16-DE1-2017-00006
Helyi közösségfejlesztés Debrecen – Józsa városrészen</t>
  </si>
  <si>
    <t>TOP-6.9.2-16-DE1-2017-00003
Helyi közösségfejlesztés Ondód városrészen</t>
  </si>
  <si>
    <t>TOP-6.9.2-16-DE1-2017-00002
Helyi közösségfejlesztés Bánk városrészen</t>
  </si>
  <si>
    <t>TOP-6.9.2-16-DE1-2017-00001
Helyi közösségfejlesztés Debrecen1 városrészen</t>
  </si>
  <si>
    <t>TOP-6.9.2-16-DE1-2017-00005
Helyi közösségfejlesztés Debrecen2 városrészen</t>
  </si>
  <si>
    <t>TOP-6.9.2-16-DE1-2017-00004
Helyi közösségfejlesztés Debrecen3 városrészen</t>
  </si>
  <si>
    <t>Parkolóalap kiadásai</t>
  </si>
  <si>
    <t>TOP-6.1.5-16-DE1-2017-00005 Debrecen déli gazdasági övezet elérhetőségének javítása</t>
  </si>
  <si>
    <t>TOP-6.1.5-16-DE1-2017-00003 A Köntösgát soron lévő ipari terület elérhetőségének javítása</t>
  </si>
  <si>
    <t>TOP-6.6.2-16-DE1-2017-00001 VSzSz Süveg utcai telephelyének infrastrukturális fejlesztése</t>
  </si>
  <si>
    <t>TOP-6.6.2-16-DE1-2017-00002 Fogyatékos Személyek Ifjúság Utcai Nappali Intézményének infrastrukturális fejlesztése</t>
  </si>
  <si>
    <t>TOP-6.6.2-16-DE1-2017-00003 VSzSz Csapó utcai telephelyének infrastrukturális fejlesztése</t>
  </si>
  <si>
    <t>TOP-6.6.2-16-DE1-2017-00004 VSzSz Pósa utcai telephelyének infrastrukturális fejlesztése</t>
  </si>
  <si>
    <t>TOP-6.6.2-16-DE1-2017-00005 VSzSz Thomas Mann utcai telephelyének infrastrukturális fejlesztése</t>
  </si>
  <si>
    <t>Csokonai Színház és színészház felújítása - Modern Városok Program</t>
  </si>
  <si>
    <t>Rigó Dezső tekecsarnok felújítása, Oláh Gábor u. 5. sz.  </t>
  </si>
  <si>
    <t xml:space="preserve">TOP-6.1.5-16-DE1-2017-00002 Határ úti ipari park elérhetőségének javítása </t>
  </si>
  <si>
    <t>TOP-6.1.5-16-DE1-2017-00001 Innovációs iparterület elérhetőségének javítása</t>
  </si>
  <si>
    <t>Debreceni Egyetem</t>
  </si>
  <si>
    <t>4.1.11</t>
  </si>
  <si>
    <t>23.1.15</t>
  </si>
  <si>
    <t>1-2-17-3800-0181-8</t>
  </si>
  <si>
    <t>OTP Bank Nyrt. (3 mrd Ft hitel)</t>
  </si>
  <si>
    <t>Debreceni Német Kulturális Fórum támogatása</t>
  </si>
  <si>
    <t>Interreg Europe-String projekt</t>
  </si>
  <si>
    <t>TOP-6.9.1-16-DE1-2017-00001 Közösségfejlesztő, képzési és felzárkóztató programok megvalósítása a Nagysándortelep-Vulkántelepen városrészen</t>
  </si>
  <si>
    <t>Egyéb egészségügyi ellátás</t>
  </si>
  <si>
    <t>Közúti jelzőlámpa üzemeltetése, karbantartása és fejlesztése</t>
  </si>
  <si>
    <t>Gépi, kézi úttisztítás és utcai szemétszállítás, illegális szemétlerakók megszüntetése, lombgyűjtőzsák biztosítása a lakosság részére</t>
  </si>
  <si>
    <t>Zöldterületi károk helyreállítása</t>
  </si>
  <si>
    <t>Városrendezési tervek</t>
  </si>
  <si>
    <t>(5. melléklet 7. cím részletezése)</t>
  </si>
  <si>
    <t>7.1.1</t>
  </si>
  <si>
    <t>7.2.1</t>
  </si>
  <si>
    <t>7.2.2</t>
  </si>
  <si>
    <t>Tanulmánytervek, beépítési tervek készítésének díjazása</t>
  </si>
  <si>
    <t>7.2.3</t>
  </si>
  <si>
    <t>Díjazási-, bíráló bizottsági tiszteletdíjak költségei</t>
  </si>
  <si>
    <t>7.2.4</t>
  </si>
  <si>
    <t>7.2.5</t>
  </si>
  <si>
    <t>7.2.6</t>
  </si>
  <si>
    <t>TOP-6.3.3-16-DE1-2017-00001 Debrecen, Nagysándortelep csapadékvíz elvezetése II. ütem</t>
  </si>
  <si>
    <t>TOP-6.3.3-16-DE1-2017-00002 Debrecen, Tarján utca csapadékvíz elvezetése</t>
  </si>
  <si>
    <t>TOP-6.1.2-16 Inkubátorházak fejlesztése</t>
  </si>
  <si>
    <t>TOP-6.1.5-15 Gazdaságfejlesztést és a munkaerő mobilitás ösztönzés</t>
  </si>
  <si>
    <t>TOP-6.2.1-16-DE1-2017-00001 A Gönczy Pál Utcai Óvoda tornaszobával történő bővítése</t>
  </si>
  <si>
    <t>TOP-6.2.1-16-DE1-2017-00002 Károlyi M. u-i bölcsődei tagintézmény infrastruktúrális fejlesztése</t>
  </si>
  <si>
    <t>TOP-6.2.1-16-DE1-2017-00003 Új óvoda építése a Tócóvölgyben (Tócóskerti Óvoda Napsugár Tagintézménye)</t>
  </si>
  <si>
    <t>TOP-6.3.2-16 Zöld város kialakítása</t>
  </si>
  <si>
    <t>TOP-6.4.1-16 Fenntartható városi közlekedésfejlesztés</t>
  </si>
  <si>
    <t xml:space="preserve">TOP-6.4.1-16-DE1-2017-00001 Nyugati kiskörút III. ütem </t>
  </si>
  <si>
    <t>TOP-6.5.1-16 Önkormányzati épületek energetikai korszerűsítése</t>
  </si>
  <si>
    <t>TOP-6.5.1-16-DE1-2017-00001 A Görgey Utcai Óvoda épületének energetikai korszerűsítése</t>
  </si>
  <si>
    <t xml:space="preserve"> TOP-6.5.1-16-DE1-2017-00002 A Régi Városháza épületének energetikai korszerűsítése</t>
  </si>
  <si>
    <t>TOP-6.5.1-16-DE1-2017-00003 Karácsony György Utcai Óvoda épületének energetikai korszerűsítése</t>
  </si>
  <si>
    <t>TOP-6.5.1-16-DE1-2017-00004 Sinay Miklós Utcai Óvoda épületének energetikai korszerűsítése</t>
  </si>
  <si>
    <t xml:space="preserve">TOP-6.5.1-16-DE1-2017-00005 Mosolykert Óvoda Kismacsi Telephelye épületének energetikai korszerűsítése    </t>
  </si>
  <si>
    <t>TOP-6.5.1-16-DE1-2017-00006 A Debrecen, Jerikó u. 17. szám alatti intézmények épületegyüttesének energetikai korszerűsítése</t>
  </si>
  <si>
    <t>TOP-6.5.1-16-DE1-2017-00008 DMJV EBI Görgey Utcai Tagintézmény épületének energetikai korszerűsítése</t>
  </si>
  <si>
    <t>TOP-6.5.1-16-DE1-2017-00007  A Csapókerti Közösségi Ház épületének energetikai korszerűsítése</t>
  </si>
  <si>
    <t>TOP-6.5.1-16-DE1-2017-00009 A Debreceni Bocskai István Általános Iskola épületének energetikai korszerűsítése</t>
  </si>
  <si>
    <t xml:space="preserve">TOP-6.5.1-16-DE1-2017-00010 A Debreceni Arany János Óvoda épületének energetikai korszerűsítése </t>
  </si>
  <si>
    <t>TOP-6.5.1-16-DE1-2017-00011  A Debreceni Dózsa György Általános Iskola épületének energetikai korszerűsítése</t>
  </si>
  <si>
    <t>TOP-6.6.1-16-DE1-2017-00001 A Sas utcai háziorvosi rendelő infrastrukturális fejlesztése</t>
  </si>
  <si>
    <t>TOP-6.6.1-16-DE1-2017-00002 Az Epreskert utcai háziorvosi rendelő infrastrukturális fejlesztése</t>
  </si>
  <si>
    <t>TOP-6.6.1-16-DE1-2017-00003 A Darabos utcai háziorvosi rendelő infrastrukturális fejlesztése</t>
  </si>
  <si>
    <t>TOP-6.6.2-15 Szociális alapszolgáltatások infrastruktúrájának fejlesztése</t>
  </si>
  <si>
    <t>TOP-6.6.2-16 Szociális alapszolgáltatások infrastruktúrájának fejlesztése</t>
  </si>
  <si>
    <t>Turisztikai programok</t>
  </si>
  <si>
    <t>Egyéb pályázati forrásból megvalósuló beruházások</t>
  </si>
  <si>
    <t>Vojtina Bábszínház tető felújítása</t>
  </si>
  <si>
    <t>Tégláskerti orvosi rendelő felújítása</t>
  </si>
  <si>
    <t>Fedett utasvárók kihelyezése</t>
  </si>
  <si>
    <t>Építészeti-Műszaki Tervtanács működtetése (személyi kifizetések és reprezentáció)</t>
  </si>
  <si>
    <t>Kiemelkedő tevékenységek és kiemelt városi rendezvények támogatása és járuléka</t>
  </si>
  <si>
    <t>16.2.3.7</t>
  </si>
  <si>
    <t xml:space="preserve">Debrecen-Hortobágy Turizmusáért Egyesület </t>
  </si>
  <si>
    <t>16.1.1.2</t>
  </si>
  <si>
    <t>Gyermek, Ifjúsági és KEF pályázatok</t>
  </si>
  <si>
    <t>Rendezvények utáni kézi takarítás és hulladékgyűjtés</t>
  </si>
  <si>
    <t>Intézmények játszótéri eszközök beszerzése</t>
  </si>
  <si>
    <t>Intézmények és orvosi rendelők felújítása</t>
  </si>
  <si>
    <t>TOP-6.3.3-15-DE1-2016-00001 Debrecen, keleti városrész csapadékvíz elvezetése</t>
  </si>
  <si>
    <t>VP6-7.2.1-7.4.1.2-16 Külterületi helyi közutak fejlesztése és munkagép beszerzése pályázat (Felsőpércsi út)</t>
  </si>
  <si>
    <t>Nyugati kiskörút I.-II. ütem</t>
  </si>
  <si>
    <t>TOP-6.3.2.-16-DE1-2017-00001 "A Sóház gazdaságélénkítő környezeti megújítása"</t>
  </si>
  <si>
    <t>TOP-6.3.2.-16-DE1-2017-00002 "A Tócóskert gazdaságélénkítő környezeti megújítása"</t>
  </si>
  <si>
    <t>TOP-6.3.2.-16-DE1-2017-00003 "A Petőfi tér rekonstrukciója"</t>
  </si>
  <si>
    <t>TOP-6.3.2.-16-DE1-2017-00004 "A Tócóvölgy gazdaságélénkítő környezeti megújítása"</t>
  </si>
  <si>
    <t>TOP-6.3.2.-16-DE1-2017-00005 "A Bem tér gazdaságélénkítő környezeti megújítása"</t>
  </si>
  <si>
    <t>3.2.14</t>
  </si>
  <si>
    <t>Főtéri rendezvények kiszolgálásához áramvételezési lehetőség kialakítása</t>
  </si>
  <si>
    <t>Műtárgyak javítása</t>
  </si>
  <si>
    <t>Nem közművel összegyűjtött háztartási szennyvíz ártalmatlanítás</t>
  </si>
  <si>
    <t>4.1.7</t>
  </si>
  <si>
    <t>4.1.12</t>
  </si>
  <si>
    <t>4.1.13</t>
  </si>
  <si>
    <t>4.1.14</t>
  </si>
  <si>
    <t>Szabványos játszóterek időszakos ellenőrzése az ellenőrzött eszközök előírt  kötelező javítása 
(MSZ-EN szabványos játszóterek időszakos TÜV ellenőrzése)</t>
  </si>
  <si>
    <t>Előre nem tervezett parkfenntartási és rendezvényi feladatok</t>
  </si>
  <si>
    <t>12.2.5</t>
  </si>
  <si>
    <t>11.2.3</t>
  </si>
  <si>
    <t>11.1.2</t>
  </si>
  <si>
    <t>Belváros Barna utcai park rekonstrukciója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</si>
  <si>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</si>
  <si>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</si>
  <si>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</si>
  <si>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</si>
  <si>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</si>
  <si>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</si>
  <si>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</si>
  <si>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</si>
  <si>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</si>
  <si>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</si>
  <si>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</si>
  <si>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</si>
  <si>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1.1.3</t>
  </si>
  <si>
    <t>2018.</t>
  </si>
  <si>
    <t>DEAC Sport Nonprofit Közhasznú Kft. támogatása</t>
  </si>
  <si>
    <t>DVSC Kézilabda Kft. támogatása</t>
  </si>
  <si>
    <t>Agóra Közhasznú Nonprofit Kft. támogatása</t>
  </si>
  <si>
    <t>Modem Modern Debreceni Nonprofit Kft. támogatása</t>
  </si>
  <si>
    <t>Zsuzsi Erdei Vasút Nonprofit Kft. támogatása</t>
  </si>
  <si>
    <t>Debreceni Nagyerdei Stadion-üzemeltető Kft. támogatása</t>
  </si>
  <si>
    <t>Nemzetközi és utánpótlásversenyek</t>
  </si>
  <si>
    <t>Pallagi úti Idősek Háza felújítása</t>
  </si>
  <si>
    <t>Közfoglalkoztatottak egyéb feladataihoz szükséges beszerzések támogatása</t>
  </si>
  <si>
    <t>TOP-6.3.3-15-DE1-2016-00002 Nagysándor telep- Vulkántelep és Fészek lakópark (Téglagyár városrész) csapadékvíz elvezetése</t>
  </si>
  <si>
    <t>TOP-6.4.1-15-DE1-2016-00006 Keleti városrész forgalomszervezése és kerékpárút kialakítása</t>
  </si>
  <si>
    <t>EFOP-1.9.9-17-2017-00009
Bölcsődei szakemberek szakmai fejlesztése Debrecenben</t>
  </si>
  <si>
    <t>Előző költségvetési éveket érintő visszatérítések, visszafizetések</t>
  </si>
  <si>
    <t>(1. oldal)</t>
  </si>
  <si>
    <t>(2. oldal)</t>
  </si>
  <si>
    <t>Magyar Református Szeretetszolgálat Közhasznú Alapítvány támogatása</t>
  </si>
  <si>
    <t>5.2.1</t>
  </si>
  <si>
    <t>5.2.2</t>
  </si>
  <si>
    <t>5.2.3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</si>
  <si>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</si>
  <si>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</si>
  <si>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</si>
  <si>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</si>
  <si>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</si>
  <si>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</si>
  <si>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</si>
  <si>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</si>
  <si>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</si>
  <si>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</si>
  <si>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</si>
  <si>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</si>
  <si>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</si>
  <si>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</si>
  <si>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</si>
  <si>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</si>
  <si>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5.2.21</t>
  </si>
  <si>
    <t>5.2.22</t>
  </si>
  <si>
    <t>5.2.23</t>
  </si>
  <si>
    <t>5.2.24</t>
  </si>
  <si>
    <t>5.2.25</t>
  </si>
  <si>
    <t>5.2.26</t>
  </si>
  <si>
    <t>5.2.27</t>
  </si>
  <si>
    <t>5.2.28</t>
  </si>
  <si>
    <t>5.2.29</t>
  </si>
  <si>
    <t>5.2.30</t>
  </si>
  <si>
    <t>5.2.31</t>
  </si>
  <si>
    <t>5.2.32</t>
  </si>
  <si>
    <t>5.2.33</t>
  </si>
  <si>
    <t>5.2.34</t>
  </si>
  <si>
    <t>5.2.35</t>
  </si>
  <si>
    <t>5.2.36</t>
  </si>
  <si>
    <t>5.2.37</t>
  </si>
  <si>
    <t>5.2.38</t>
  </si>
  <si>
    <t>5.2.39</t>
  </si>
  <si>
    <t>5.2.40</t>
  </si>
  <si>
    <t>5.2.41</t>
  </si>
  <si>
    <t>5.2.42</t>
  </si>
  <si>
    <t>5.2.43</t>
  </si>
  <si>
    <t>5.2.44</t>
  </si>
  <si>
    <t>5.2.45</t>
  </si>
  <si>
    <t>5.2.46</t>
  </si>
  <si>
    <t>5.2.47</t>
  </si>
  <si>
    <t>5.2.48</t>
  </si>
  <si>
    <t>5.2.49</t>
  </si>
  <si>
    <t>5.2.50</t>
  </si>
  <si>
    <t>5.2.51</t>
  </si>
  <si>
    <t>5.2.52</t>
  </si>
  <si>
    <t>5.2.53</t>
  </si>
  <si>
    <t>5.2.54</t>
  </si>
  <si>
    <t>5.2.55</t>
  </si>
  <si>
    <t>5.2.56</t>
  </si>
  <si>
    <t>5.2.57</t>
  </si>
  <si>
    <t>5.2.58</t>
  </si>
  <si>
    <t>5.2.59</t>
  </si>
  <si>
    <t>5.2.60</t>
  </si>
  <si>
    <t>5.2.61</t>
  </si>
  <si>
    <t>5.2.62</t>
  </si>
  <si>
    <t>5.2.63</t>
  </si>
  <si>
    <t>5.2.64</t>
  </si>
  <si>
    <t>5.2.65</t>
  </si>
  <si>
    <t>5.2.66</t>
  </si>
  <si>
    <t>5.2.67</t>
  </si>
  <si>
    <t>5.2.68</t>
  </si>
  <si>
    <t>5.2.69</t>
  </si>
  <si>
    <t>5.2.70</t>
  </si>
  <si>
    <t>5.2.71</t>
  </si>
  <si>
    <t>5.2.72</t>
  </si>
  <si>
    <t>5.2.73</t>
  </si>
  <si>
    <t>5.2.74</t>
  </si>
  <si>
    <t>5.2.75</t>
  </si>
  <si>
    <t>5.2.76</t>
  </si>
  <si>
    <t>5.2.77</t>
  </si>
  <si>
    <t>5.2.78</t>
  </si>
  <si>
    <t>5.2.79</t>
  </si>
  <si>
    <t>5.2.80</t>
  </si>
  <si>
    <t>5.2.81</t>
  </si>
  <si>
    <t>5.2.82</t>
  </si>
  <si>
    <t>5.2.83</t>
  </si>
  <si>
    <t>5.2.84</t>
  </si>
  <si>
    <t>5.2.85</t>
  </si>
  <si>
    <t>5.2.86</t>
  </si>
  <si>
    <t>5.2.87</t>
  </si>
  <si>
    <t>5.2.88</t>
  </si>
  <si>
    <t>5.2.89</t>
  </si>
  <si>
    <t>5.2.90</t>
  </si>
  <si>
    <t>5.2.91</t>
  </si>
  <si>
    <t>5.2.92</t>
  </si>
  <si>
    <t>5.2.93</t>
  </si>
  <si>
    <t>5.2.94</t>
  </si>
  <si>
    <t>5.2.95</t>
  </si>
  <si>
    <t>5.2.96</t>
  </si>
  <si>
    <t>5.2.97</t>
  </si>
  <si>
    <t>5.2.98</t>
  </si>
  <si>
    <t>5.2.99</t>
  </si>
  <si>
    <t>5.2.100</t>
  </si>
  <si>
    <t>5.2.101</t>
  </si>
  <si>
    <t>5.2.102</t>
  </si>
  <si>
    <t>5.2.103</t>
  </si>
  <si>
    <t>5.2.104</t>
  </si>
  <si>
    <t>5.2.105</t>
  </si>
  <si>
    <t>5.2.106</t>
  </si>
  <si>
    <t>5.2.107</t>
  </si>
  <si>
    <t>5.2.108</t>
  </si>
  <si>
    <t>5.2.109</t>
  </si>
  <si>
    <t>5.2.110</t>
  </si>
  <si>
    <t>5.2.111</t>
  </si>
  <si>
    <t>5.2.112</t>
  </si>
  <si>
    <t>5.2.113</t>
  </si>
  <si>
    <t>5.2.114</t>
  </si>
  <si>
    <t>5.2.115</t>
  </si>
  <si>
    <t>5.2.116</t>
  </si>
  <si>
    <t>5.2.117</t>
  </si>
  <si>
    <t>5.2.118</t>
  </si>
  <si>
    <t>5.2.119</t>
  </si>
  <si>
    <t>5.2.120</t>
  </si>
  <si>
    <t>5.2.121</t>
  </si>
  <si>
    <t>5.2.122</t>
  </si>
  <si>
    <t>5.2.123</t>
  </si>
  <si>
    <t>5.2.124</t>
  </si>
  <si>
    <t>5.2.125</t>
  </si>
  <si>
    <t>5.2.126</t>
  </si>
  <si>
    <t>TOP-6.1.4-16-DE1-2017-00001 Turisztikai attrakciófejlesztés a Debreceni Zsidó Hitközség székházában</t>
  </si>
  <si>
    <t>TOP-6.1.4-16-DE1-2017-00002  „Hit és Kultúra” Attila téri görögkatolikus turisztikai látogatóközpont létrehozása</t>
  </si>
  <si>
    <t>Családok Átmeneti Otthona Mester u 30.</t>
  </si>
  <si>
    <t>(5. melléklet 15. cím részletezése)</t>
  </si>
  <si>
    <t>Kisebbségekért Pro Minoritate Alapítvány támogatása</t>
  </si>
  <si>
    <t>5.2.127</t>
  </si>
  <si>
    <t>Észak-Nyugati Gazdasági Övezet kialakításának, közművesítésének és elérhetőségének javításához szükséges  kiadások</t>
  </si>
  <si>
    <t>Hitelszerződés száma</t>
  </si>
  <si>
    <t>1-2-18-3800-0368-4</t>
  </si>
  <si>
    <t>Adósságot keletkeztető ügylet megnevezése</t>
  </si>
  <si>
    <t>OTP Bank Nyrt. (2,5 mrd Ft hitel)</t>
  </si>
  <si>
    <t>Debrecen Nagycsere és Haláp településrészei ivóvíz hálózatának fejlesztése</t>
  </si>
  <si>
    <t>Bírósági végzés alapján kártérítési járadék fizetése</t>
  </si>
  <si>
    <t>Gyógyhelyadatok aktualizálása</t>
  </si>
  <si>
    <t>Ellátási szerződések az önkormányzat által kötelezően ellátandó szociális és gyermekjóléti feladatokra</t>
  </si>
  <si>
    <t>A szociális és gyermekjóléti intézmények szolgáltatótól nyilvántartásba történő bejegyzéséhez, az adatok módosításához, hatósági eljárásokhoz kapcsolódó kiadások</t>
  </si>
  <si>
    <t>Debreceni Egyetem Klinikai Központ Gyermekgyógyászati klinikáján tartós gyógykezelés alatt álló gyermekek tankötelezettségének támogatása</t>
  </si>
  <si>
    <t>Debreceni Egyetem Egészségügyi szolgáltatója által nyújtott egészségügyi alapellátás biztosítása</t>
  </si>
  <si>
    <t>16.1.1.12</t>
  </si>
  <si>
    <t>16.1.1.13</t>
  </si>
  <si>
    <t>Téli rezsicsökkentés szállítással</t>
  </si>
  <si>
    <t>Eseti, időszaki, nevelési támogatás</t>
  </si>
  <si>
    <t>18/ISF/P49665/BER</t>
  </si>
  <si>
    <t>Erste Bank Hungary Zrt.</t>
  </si>
  <si>
    <t>16.2.3.8</t>
  </si>
  <si>
    <t>Debreceni Hajdú Néptáncegyüttes  Alapítvány támogatása</t>
  </si>
  <si>
    <t xml:space="preserve">Kiadványok és debreceni programajánló, online felület üzemeltetésének támogatása </t>
  </si>
  <si>
    <t>Káplár Miklós Nemzetközi Alkotótábor támogatása (Hortobágyi Nemzetközi Művésztelep)</t>
  </si>
  <si>
    <t>16.2.2.7</t>
  </si>
  <si>
    <t>DKV Zrt. veszteség kompenzációja</t>
  </si>
  <si>
    <t>27.1.11</t>
  </si>
  <si>
    <t>15.1.16</t>
  </si>
  <si>
    <t>12.2.6</t>
  </si>
  <si>
    <t>Polgárvédelmi szirénák felújítása</t>
  </si>
  <si>
    <t>Kassai út 115. orvosi rendelő és védőnői szolgálat felújítása</t>
  </si>
  <si>
    <t>Nagymacs közösségi ház külső világítás kialakítása</t>
  </si>
  <si>
    <t>Varázserdő-Debrecen Nagyerdő projekt</t>
  </si>
  <si>
    <t>3.2.15</t>
  </si>
  <si>
    <t>Elektromos töltőállomások üzemeltetése</t>
  </si>
  <si>
    <t>3.2.16</t>
  </si>
  <si>
    <t>Városüzemeltetési feladatokhoz kapcsolódó egyéb kiadások</t>
  </si>
  <si>
    <t>Városi gyep területek felújítása</t>
  </si>
  <si>
    <t>Hulladékgyűjtők, padok beszerzése</t>
  </si>
  <si>
    <t>4.2.23</t>
  </si>
  <si>
    <t>Szent István szobor megalkotása</t>
  </si>
  <si>
    <t>Játszóeszközök felújítása, új játszóterek építése</t>
  </si>
  <si>
    <t>Zöldterületi feladatokhoz kapcsolódó egyéb kiadások</t>
  </si>
  <si>
    <t>Debreceni Labdarúgó Akadémia  Nonprofit Kft. támogatása és TAO támogatás önrésze</t>
  </si>
  <si>
    <t>DLA Utánpótlás Nevelő Nonprofit Kft. támogatása és TAO támogatás önrésze</t>
  </si>
  <si>
    <t xml:space="preserve">Debreceni Ingatlanfejlesztő Kft. támogatása </t>
  </si>
  <si>
    <t>Debreceni Infrastruktúra Fejlesztő Kft. támogatása</t>
  </si>
  <si>
    <t>Bakator Bor-és Gasztrofesztivál</t>
  </si>
  <si>
    <t xml:space="preserve">EUROCITIES tagság </t>
  </si>
  <si>
    <t>Költségvetési szervek közfoglalkoztatás támogatása</t>
  </si>
  <si>
    <t>7.2.7</t>
  </si>
  <si>
    <t>15.1.17</t>
  </si>
  <si>
    <t>15.1.18</t>
  </si>
  <si>
    <t>15.1.19</t>
  </si>
  <si>
    <t>Debrecen Turisztikai Ügynökség Közhasznú Nonprofit Kft. támogatása</t>
  </si>
  <si>
    <t>Postaköltség</t>
  </si>
  <si>
    <t>TOP-6.2.1-16 Családbarát, munkába állást segítő intézmények közszolgáltatások fejlesztése</t>
  </si>
  <si>
    <t>Kossuth téri nyilvános WC utólagos szigetelése felújítása</t>
  </si>
  <si>
    <t>TOP-6.1.5-16-DE1-2017-00004 Egyetemi Innovációs Park elérhetőségének javítása</t>
  </si>
  <si>
    <t xml:space="preserve"> TOP-6.2.1-16-DE1-2017-00004  Eszközök beszerzése DMJV Egyesített Bölcsődei Intézménye több tagintézményében</t>
  </si>
  <si>
    <t>TOP-6.2.1-16-DE1-2017-00005 Új bölcsőde létesítése a Postakert városrészen</t>
  </si>
  <si>
    <t>TOP-6.6.1-15 Egészségügyi alapellátás infrastrukturális fejlesztése</t>
  </si>
  <si>
    <t>TOP-6.6.1-16 Egészségügyi alapellátás infrastrukturális fejlesztése</t>
  </si>
  <si>
    <t>Pallagi úti labdarúgó bázis műfüves pálya lefedése, pályázati önrész</t>
  </si>
  <si>
    <t>TOP-6.2.1-15 Családbarát, munkába állást segítő intézmények közszolgáltatások fejlesztése</t>
  </si>
  <si>
    <t>Észak-Nyugati Gazdasági Övezet kialakításával kapcsolatos kiadások (tartalék)</t>
  </si>
  <si>
    <t>Több külterületi telephellyel rendelkező háziorvosi, házi gyermekorvosi szolgáltató számára a rendelő üzemeltetési költségeinek támogatása</t>
  </si>
  <si>
    <t>TOP-6.5.1-15-DE1-2016-00018 A Honvéd utcai bölcsőde épületének energetikai korszerűsítése</t>
  </si>
  <si>
    <t>ASP részletező kód</t>
  </si>
  <si>
    <t>52201</t>
  </si>
  <si>
    <t>52202</t>
  </si>
  <si>
    <t>52203</t>
  </si>
  <si>
    <t>52204</t>
  </si>
  <si>
    <t>52205</t>
  </si>
  <si>
    <t>52206</t>
  </si>
  <si>
    <t>52207</t>
  </si>
  <si>
    <t>52208</t>
  </si>
  <si>
    <t>52209</t>
  </si>
  <si>
    <t>52210</t>
  </si>
  <si>
    <t>52211</t>
  </si>
  <si>
    <t>52212</t>
  </si>
  <si>
    <t>52213</t>
  </si>
  <si>
    <t>52214</t>
  </si>
  <si>
    <t>52215</t>
  </si>
  <si>
    <t>52216</t>
  </si>
  <si>
    <t>52217</t>
  </si>
  <si>
    <t>52218</t>
  </si>
  <si>
    <t>52219</t>
  </si>
  <si>
    <t>52220</t>
  </si>
  <si>
    <t>52221</t>
  </si>
  <si>
    <t>52222</t>
  </si>
  <si>
    <t>52301</t>
  </si>
  <si>
    <t>52302</t>
  </si>
  <si>
    <t>52303</t>
  </si>
  <si>
    <t>52304</t>
  </si>
  <si>
    <t>52305</t>
  </si>
  <si>
    <t>52306</t>
  </si>
  <si>
    <t>52307</t>
  </si>
  <si>
    <t>52308</t>
  </si>
  <si>
    <t>52309</t>
  </si>
  <si>
    <t>52310</t>
  </si>
  <si>
    <t>52311</t>
  </si>
  <si>
    <t>52312</t>
  </si>
  <si>
    <t>52313</t>
  </si>
  <si>
    <t>52314</t>
  </si>
  <si>
    <t>52315</t>
  </si>
  <si>
    <t>52501</t>
  </si>
  <si>
    <t>52502</t>
  </si>
  <si>
    <t>52503</t>
  </si>
  <si>
    <t>52504</t>
  </si>
  <si>
    <t>52505</t>
  </si>
  <si>
    <t>52506</t>
  </si>
  <si>
    <t>52507</t>
  </si>
  <si>
    <t>52508</t>
  </si>
  <si>
    <t>52509</t>
  </si>
  <si>
    <t>52510</t>
  </si>
  <si>
    <t>52511</t>
  </si>
  <si>
    <t>52512</t>
  </si>
  <si>
    <t>52513</t>
  </si>
  <si>
    <t>52514</t>
  </si>
  <si>
    <t>52601</t>
  </si>
  <si>
    <t>52602</t>
  </si>
  <si>
    <t>52603</t>
  </si>
  <si>
    <t>52604</t>
  </si>
  <si>
    <t>52605</t>
  </si>
  <si>
    <t>52606</t>
  </si>
  <si>
    <t>52608</t>
  </si>
  <si>
    <t>52611</t>
  </si>
  <si>
    <t>52614</t>
  </si>
  <si>
    <t>52618</t>
  </si>
  <si>
    <t>52619</t>
  </si>
  <si>
    <t>52620</t>
  </si>
  <si>
    <t>52622</t>
  </si>
  <si>
    <t>52623</t>
  </si>
  <si>
    <t>542001</t>
  </si>
  <si>
    <t>542121</t>
  </si>
  <si>
    <t>542123</t>
  </si>
  <si>
    <t>542124</t>
  </si>
  <si>
    <t>542125</t>
  </si>
  <si>
    <t>542126</t>
  </si>
  <si>
    <t>542127</t>
  </si>
  <si>
    <t>54101</t>
  </si>
  <si>
    <t>54102</t>
  </si>
  <si>
    <t>54103</t>
  </si>
  <si>
    <t>54104</t>
  </si>
  <si>
    <t>54105</t>
  </si>
  <si>
    <t>54106</t>
  </si>
  <si>
    <t>54107</t>
  </si>
  <si>
    <t>54111</t>
  </si>
  <si>
    <t>54121</t>
  </si>
  <si>
    <t>54122</t>
  </si>
  <si>
    <t>54123</t>
  </si>
  <si>
    <t>54124</t>
  </si>
  <si>
    <t>53503</t>
  </si>
  <si>
    <t>53504</t>
  </si>
  <si>
    <t>53505</t>
  </si>
  <si>
    <t>53506</t>
  </si>
  <si>
    <t>53507</t>
  </si>
  <si>
    <t>53508</t>
  </si>
  <si>
    <t>53509</t>
  </si>
  <si>
    <t>53510</t>
  </si>
  <si>
    <t>53511</t>
  </si>
  <si>
    <t>53513</t>
  </si>
  <si>
    <t>53515</t>
  </si>
  <si>
    <t>53516</t>
  </si>
  <si>
    <t>53517</t>
  </si>
  <si>
    <t>53519</t>
  </si>
  <si>
    <t>53520</t>
  </si>
  <si>
    <t>53521</t>
  </si>
  <si>
    <t>53522</t>
  </si>
  <si>
    <t>53524</t>
  </si>
  <si>
    <t>53525</t>
  </si>
  <si>
    <t>53526</t>
  </si>
  <si>
    <t>53527</t>
  </si>
  <si>
    <t>54311</t>
  </si>
  <si>
    <t>54312</t>
  </si>
  <si>
    <t>54313</t>
  </si>
  <si>
    <t>54314</t>
  </si>
  <si>
    <t>54315</t>
  </si>
  <si>
    <t>54316</t>
  </si>
  <si>
    <t>54321</t>
  </si>
  <si>
    <t>54322</t>
  </si>
  <si>
    <t>54323</t>
  </si>
  <si>
    <t>54325</t>
  </si>
  <si>
    <t>54327</t>
  </si>
  <si>
    <t>54401</t>
  </si>
  <si>
    <t>54402</t>
  </si>
  <si>
    <t>54403</t>
  </si>
  <si>
    <t>54404</t>
  </si>
  <si>
    <t>54405</t>
  </si>
  <si>
    <t>54411</t>
  </si>
  <si>
    <t>54412</t>
  </si>
  <si>
    <t>55021</t>
  </si>
  <si>
    <t>55022</t>
  </si>
  <si>
    <t>55024</t>
  </si>
  <si>
    <t>55031</t>
  </si>
  <si>
    <t>55032</t>
  </si>
  <si>
    <t>55033</t>
  </si>
  <si>
    <t>55034</t>
  </si>
  <si>
    <t>55221</t>
  </si>
  <si>
    <t>55222</t>
  </si>
  <si>
    <t>55223</t>
  </si>
  <si>
    <t>55104</t>
  </si>
  <si>
    <t>56101</t>
  </si>
  <si>
    <t>56102</t>
  </si>
  <si>
    <t>56103</t>
  </si>
  <si>
    <t>56104</t>
  </si>
  <si>
    <t>56105</t>
  </si>
  <si>
    <t>56106</t>
  </si>
  <si>
    <t>56107</t>
  </si>
  <si>
    <t>56108</t>
  </si>
  <si>
    <t>56109</t>
  </si>
  <si>
    <t>56110</t>
  </si>
  <si>
    <t>56111</t>
  </si>
  <si>
    <t>56121</t>
  </si>
  <si>
    <t>56122</t>
  </si>
  <si>
    <t>56123</t>
  </si>
  <si>
    <t>56124</t>
  </si>
  <si>
    <t>56125</t>
  </si>
  <si>
    <t>56127</t>
  </si>
  <si>
    <t>56128</t>
  </si>
  <si>
    <t>56131</t>
  </si>
  <si>
    <t>57001</t>
  </si>
  <si>
    <t>57002</t>
  </si>
  <si>
    <t>57003</t>
  </si>
  <si>
    <t>57004</t>
  </si>
  <si>
    <t>57006</t>
  </si>
  <si>
    <t>57007</t>
  </si>
  <si>
    <t>57009</t>
  </si>
  <si>
    <t>57010</t>
  </si>
  <si>
    <t>57011</t>
  </si>
  <si>
    <t>57102</t>
  </si>
  <si>
    <t>57103</t>
  </si>
  <si>
    <t>57104</t>
  </si>
  <si>
    <t>57106</t>
  </si>
  <si>
    <t>57107</t>
  </si>
  <si>
    <t>57201</t>
  </si>
  <si>
    <t>57202</t>
  </si>
  <si>
    <t>57203</t>
  </si>
  <si>
    <t>57204</t>
  </si>
  <si>
    <t>57205</t>
  </si>
  <si>
    <t>57206</t>
  </si>
  <si>
    <t>57301</t>
  </si>
  <si>
    <t>57302</t>
  </si>
  <si>
    <t>57303</t>
  </si>
  <si>
    <t>57304</t>
  </si>
  <si>
    <t>57305</t>
  </si>
  <si>
    <t>57306</t>
  </si>
  <si>
    <t>57307</t>
  </si>
  <si>
    <t>58101</t>
  </si>
  <si>
    <t>58103</t>
  </si>
  <si>
    <t>58104</t>
  </si>
  <si>
    <t>58105</t>
  </si>
  <si>
    <t>58106</t>
  </si>
  <si>
    <t>58107</t>
  </si>
  <si>
    <t>58108</t>
  </si>
  <si>
    <t>58109</t>
  </si>
  <si>
    <t>58110</t>
  </si>
  <si>
    <t>58111</t>
  </si>
  <si>
    <t>58112</t>
  </si>
  <si>
    <t>58113</t>
  </si>
  <si>
    <t>58114</t>
  </si>
  <si>
    <t>56115</t>
  </si>
  <si>
    <t>58116</t>
  </si>
  <si>
    <t>58117</t>
  </si>
  <si>
    <t>58119</t>
  </si>
  <si>
    <t>58120</t>
  </si>
  <si>
    <t>58121</t>
  </si>
  <si>
    <t>58122</t>
  </si>
  <si>
    <t>58123</t>
  </si>
  <si>
    <t>58131</t>
  </si>
  <si>
    <t>58201</t>
  </si>
  <si>
    <t>58202</t>
  </si>
  <si>
    <t>58203</t>
  </si>
  <si>
    <t>58204</t>
  </si>
  <si>
    <t>58205</t>
  </si>
  <si>
    <t>58206</t>
  </si>
  <si>
    <t>58207</t>
  </si>
  <si>
    <t>58209</t>
  </si>
  <si>
    <t>58210</t>
  </si>
  <si>
    <t>58211</t>
  </si>
  <si>
    <t>58302</t>
  </si>
  <si>
    <t>58303</t>
  </si>
  <si>
    <t>58305</t>
  </si>
  <si>
    <t>58314</t>
  </si>
  <si>
    <t>58315</t>
  </si>
  <si>
    <t>58316</t>
  </si>
  <si>
    <t>58501</t>
  </si>
  <si>
    <t>58502</t>
  </si>
  <si>
    <t>58503</t>
  </si>
  <si>
    <t>58504</t>
  </si>
  <si>
    <t>58505</t>
  </si>
  <si>
    <t>58506</t>
  </si>
  <si>
    <t>58507</t>
  </si>
  <si>
    <t>59004</t>
  </si>
  <si>
    <t>59005</t>
  </si>
  <si>
    <t>59006</t>
  </si>
  <si>
    <t>59007</t>
  </si>
  <si>
    <t>59008</t>
  </si>
  <si>
    <t>59009</t>
  </si>
  <si>
    <t>59010</t>
  </si>
  <si>
    <t>TOP-7.1.1-16-H-042-1-0001 Debreceniek háza létrehozása</t>
  </si>
  <si>
    <t xml:space="preserve">ROHU CBC Incubator(Concept Note) </t>
  </si>
  <si>
    <t>ROHU EduCultCentre(Concept Note)</t>
  </si>
  <si>
    <t>DVSC Ökölvívó Kft támogatása</t>
  </si>
  <si>
    <t>542129</t>
  </si>
  <si>
    <t>542130</t>
  </si>
  <si>
    <t>54415</t>
  </si>
  <si>
    <t>59001</t>
  </si>
  <si>
    <t>59002</t>
  </si>
  <si>
    <t>59003</t>
  </si>
  <si>
    <t>ASP részletező
kód</t>
  </si>
  <si>
    <t>16.2.2.8</t>
  </si>
  <si>
    <t>Debreceni Campus Nonprofit Közhasznú Kft. támogatása</t>
  </si>
  <si>
    <t>25.2.8</t>
  </si>
  <si>
    <t>25.2.9</t>
  </si>
  <si>
    <t>DMJV Lengyel Nemzetiségi  Önkormányzat működési támogatása</t>
  </si>
  <si>
    <t>DMJV Ukrán Nemzetiségi  Önkormányzat működési támogatása</t>
  </si>
  <si>
    <t>2020. évi eredeti előirányzat összege</t>
  </si>
  <si>
    <t>Tervtár gépparkállományának fejlesztése</t>
  </si>
  <si>
    <t>Műemlékvédelmi alap létrehozása</t>
  </si>
  <si>
    <t>Településrendezési- és Tervezési szerződésekhez kapcsolódó díjak</t>
  </si>
  <si>
    <t>Lakossági kezdeményezéssel megvalósuló út és közműépítés 2021. évi előkészítése</t>
  </si>
  <si>
    <t>Helyi közösségi közlekedés 2020. évi állami támogatása</t>
  </si>
  <si>
    <t>Helyi közösségi közlekedés 2020. évi állami támogatásához kapcsolódó önkormányzati önrész és egyéb támogatás</t>
  </si>
  <si>
    <t>Debreceni Asztalitenisz Klub támogatása</t>
  </si>
  <si>
    <t>Eötvös Utcai Diáksport Egyesület támogatása</t>
  </si>
  <si>
    <t>13.2.4</t>
  </si>
  <si>
    <t>Karitatív testülettel együttműködés</t>
  </si>
  <si>
    <t>Bérkompenzáció 2019. évi elszámolása</t>
  </si>
  <si>
    <t>Bérkompenzáció 2019. évről áthúzódó támogatása</t>
  </si>
  <si>
    <t>Bérkompenzáció 2020. évi különbözete</t>
  </si>
  <si>
    <t>Zárt csapadékvíz elvezető rendszer építése, felújítása, tervezése</t>
  </si>
  <si>
    <t>Ivóvízhálózat fejlesztése</t>
  </si>
  <si>
    <t>Szennyvízhálózat fejlesztése</t>
  </si>
  <si>
    <t>"Nemzeti Összetartozás Éve"</t>
  </si>
  <si>
    <t>Zenei Támogatási Program</t>
  </si>
  <si>
    <t>Kodály Zoltán Nemzetközi Zenei Verseny</t>
  </si>
  <si>
    <t>15.1.20</t>
  </si>
  <si>
    <t>Debreceni Evangélikus Egyházközség támogatása</t>
  </si>
  <si>
    <t>Debreceni Nagytemplomi Református Egyházközség támogatása</t>
  </si>
  <si>
    <t>Debreceni Zsidó Hitközség támogatása</t>
  </si>
  <si>
    <t>Hajdúdorogi Főegyházmegye támogatása</t>
  </si>
  <si>
    <t>Egyéb egyházi támogatások</t>
  </si>
  <si>
    <t>15.1.21</t>
  </si>
  <si>
    <t>15.1.22</t>
  </si>
  <si>
    <t>15.1.23</t>
  </si>
  <si>
    <t>15.1.24</t>
  </si>
  <si>
    <t>15.1.25</t>
  </si>
  <si>
    <t>12.1.6</t>
  </si>
  <si>
    <t>Létesítményhasználat támogatása</t>
  </si>
  <si>
    <t>TTP-KP-1-2017/1-000156 Bethlen Gábor Alap Debrecen és Salánk kapcsolatépítése</t>
  </si>
  <si>
    <t xml:space="preserve">TTP-KP-1-2020/1-00008 Bethlen Gábor Alap Debrecen és Salánk kapcsolatépítése </t>
  </si>
  <si>
    <t>Urban Innovative Actions-Relight up ! DebREcen</t>
  </si>
  <si>
    <t>Egyéb hitellel kapcsolatos kiadások</t>
  </si>
  <si>
    <t>Kezességvállalási díj</t>
  </si>
  <si>
    <t>Magyar Állam</t>
  </si>
  <si>
    <t>Értékvédelmi rendelet módosítása és értékkataszter elkészítése</t>
  </si>
  <si>
    <t>Önkormányzatot érintő beruházáshoz, egyéb előre nem látható fejlesztések, tanulmányok, városrendezési tervek elkészítéséhez szükséges költségek</t>
  </si>
  <si>
    <t>Illegális hulladéklerakók felszámolása</t>
  </si>
  <si>
    <t>Természetvédelmi feladatok támogatása</t>
  </si>
  <si>
    <t>Szabadtéri WC építése</t>
  </si>
  <si>
    <t>Járdarekonstrukciók</t>
  </si>
  <si>
    <t>27.1.12</t>
  </si>
  <si>
    <t>Vagyongazdálkodási feladatok</t>
  </si>
  <si>
    <t>(5. melléklet 24. cím részletezése)</t>
  </si>
  <si>
    <t>24.1.1</t>
  </si>
  <si>
    <t>Üzemeltetési költség</t>
  </si>
  <si>
    <t>58401</t>
  </si>
  <si>
    <t>24.1.2</t>
  </si>
  <si>
    <t xml:space="preserve">Ingatlanértékesítés előkészítése </t>
  </si>
  <si>
    <t>58402</t>
  </si>
  <si>
    <t>24.1.3</t>
  </si>
  <si>
    <t xml:space="preserve">Önkormányzattal szembeni követelések, kártérítések </t>
  </si>
  <si>
    <t>58403</t>
  </si>
  <si>
    <t>24.1.4</t>
  </si>
  <si>
    <t>Vagyonkataszter karbantartás</t>
  </si>
  <si>
    <t>58404</t>
  </si>
  <si>
    <t>24.1.5</t>
  </si>
  <si>
    <t xml:space="preserve">Egyéb vagyonkezelési költség </t>
  </si>
  <si>
    <t>58405</t>
  </si>
  <si>
    <t>24.1.6</t>
  </si>
  <si>
    <t>Térítési díjak önkormányzati lakások kiürítéséhez</t>
  </si>
  <si>
    <t>58406</t>
  </si>
  <si>
    <t>24.1.7</t>
  </si>
  <si>
    <t>Stratégiai vagyonalap</t>
  </si>
  <si>
    <t>58407</t>
  </si>
  <si>
    <t>24.1.8</t>
  </si>
  <si>
    <t>Szabályozási tervi korlátozás, kisajátítás, adásvétel</t>
  </si>
  <si>
    <t>58408</t>
  </si>
  <si>
    <t>24.1.9</t>
  </si>
  <si>
    <t xml:space="preserve">Ingatlan forgalmi értékének a szabályozási tervi előírások miatti értékcsökkenéséből adódó kártalanítás </t>
  </si>
  <si>
    <t>58409</t>
  </si>
  <si>
    <t>24.1.10</t>
  </si>
  <si>
    <t xml:space="preserve">Bontási költség </t>
  </si>
  <si>
    <t>58410</t>
  </si>
  <si>
    <t>24.1.11</t>
  </si>
  <si>
    <t>Színház funkció befogadására létesített ingatlan állagmegóvásával és vagyonvédelmével kapcsolatos kiadások</t>
  </si>
  <si>
    <t>58411</t>
  </si>
  <si>
    <t>24.1.12</t>
  </si>
  <si>
    <t>Bérleti díj beszámítással végzett beruházások, felújítások elszámolása</t>
  </si>
  <si>
    <t>58412</t>
  </si>
  <si>
    <t>24.1.13</t>
  </si>
  <si>
    <t>Ingatlancserék</t>
  </si>
  <si>
    <t>58413</t>
  </si>
  <si>
    <t>24.1.14</t>
  </si>
  <si>
    <t>Felújítások</t>
  </si>
  <si>
    <t>58414</t>
  </si>
  <si>
    <t>24.1.15</t>
  </si>
  <si>
    <t>Nem lakás célú önkormányzati tulajdonú helyiségek közös költségei</t>
  </si>
  <si>
    <t>58415</t>
  </si>
  <si>
    <t>24.1.16</t>
  </si>
  <si>
    <t>Riasztórendszerek kiépítése, figyelőszolgáltatása, karbantartása</t>
  </si>
  <si>
    <t>58416</t>
  </si>
  <si>
    <t>24.1.17</t>
  </si>
  <si>
    <t>58417</t>
  </si>
  <si>
    <t>24.1.18</t>
  </si>
  <si>
    <t>Észak-Nyugati Gazdasági Övezet kialakításához területszerzés csere</t>
  </si>
  <si>
    <t>24.1.19</t>
  </si>
  <si>
    <t>Észak-Nyugati Gazdasági Övezet kialakításához, fejlesztéséhez kapcsolódó területszerzések és régészet</t>
  </si>
  <si>
    <t>58419</t>
  </si>
  <si>
    <t xml:space="preserve">Bölcsődében foglalkoztatott, felsőfokú és középfokú végzettséggel rendelkező kisgyermeknevelők részére 2020. évben kifizetésre kerülő bölcsődei pótlék, valamint  jubileumi jutalma alapjául szolgáló illetmény összegébe beszámítandó pótlékok </t>
  </si>
  <si>
    <t>Tarpa Sport Club támogatása</t>
  </si>
  <si>
    <t>12.2.7</t>
  </si>
  <si>
    <t>Közhasznú zöldterületek fenntartása, köztisztasági feladatok ellátása</t>
  </si>
  <si>
    <t>Játszóterek és kondiparkok műszaki felügyelete, karbantartása, ütsécsillapító burkolatok felülterítése</t>
  </si>
  <si>
    <t>Közkutak, ivókutak üzemeltetése, felújítása, közüzemi díjak</t>
  </si>
  <si>
    <t>Szökőkutak, csobogók üzemeltetése, felújítása</t>
  </si>
  <si>
    <t>Nyilvános illemhelyek üzemeltetése</t>
  </si>
  <si>
    <t>Tervezési feladatok, megbízási díjak, szoftverfejlesztés</t>
  </si>
  <si>
    <t xml:space="preserve">Nagyerdő 2020 program </t>
  </si>
  <si>
    <t>Kutyafuttatók kialakítása III. ütem</t>
  </si>
  <si>
    <t>2020.</t>
  </si>
  <si>
    <t>Idősügyi szervezetek támogatása</t>
  </si>
  <si>
    <t>Nagyfelületű útfelújítás</t>
  </si>
  <si>
    <t>Út-, közmű-, járdaépítés</t>
  </si>
  <si>
    <t>Közlekedési csomópontok visszaszámláló berendezésének cseréje, táblák korszerűsítése</t>
  </si>
  <si>
    <t>8.2.19.1</t>
  </si>
  <si>
    <t>8.2.19.2</t>
  </si>
  <si>
    <t>8.2.19.3</t>
  </si>
  <si>
    <t>8.2.19.6</t>
  </si>
  <si>
    <t>.8.2.19.4</t>
  </si>
  <si>
    <t>8.2.19.5</t>
  </si>
  <si>
    <t>8.2.19.7</t>
  </si>
  <si>
    <t>8.2.19.8</t>
  </si>
  <si>
    <t>8.2.19.9</t>
  </si>
  <si>
    <t>TOP-6.2.1-19 Családbarát, munkába állást segítő intézmények közszolgáltatások fejlesztése</t>
  </si>
  <si>
    <t>TOP-6.2.1-19-DE1-2019-00001 Bölcsődei férőhelyek kialakítása Debrecen-Józsa városrészen</t>
  </si>
  <si>
    <t>TOP-6.2.1-19-DE1-2019-00002 Bölcsődei férőhelyek kialakítása Debrecen-Tócóvölgy városrészen</t>
  </si>
  <si>
    <t>TOP-6.2.1-19-DE1-2019-00003 Bölcsődei férőhelyek kialakítása Debrecen-Déli városrészen</t>
  </si>
  <si>
    <t>542132</t>
  </si>
  <si>
    <t>542134</t>
  </si>
  <si>
    <t>542122</t>
  </si>
  <si>
    <t>CLLD</t>
  </si>
  <si>
    <t>542110</t>
  </si>
  <si>
    <t>Társadalmi és környezeti szempontból fenntartható turizmusfejlesztés</t>
  </si>
  <si>
    <t>Modern Városok Program</t>
  </si>
  <si>
    <t>Bábmúzeum kialakítása a Vojtina Bábszínházban</t>
  </si>
  <si>
    <t>DEBI-Közösségi bringaprogram</t>
  </si>
  <si>
    <t>Aquaticum Mediterrán élményfürdő attrakcióbővítése</t>
  </si>
  <si>
    <t>Interaktív Gyerekközpont kialakítása</t>
  </si>
  <si>
    <t>Nagyerdei Szabadtéri Színpad attrakcióbővítése</t>
  </si>
  <si>
    <t>Nagyerdei Kultúrpark Fejlesztése</t>
  </si>
  <si>
    <t>Négyévszakos városközpont kialakítása</t>
  </si>
  <si>
    <t>Kerekestelepi Fürdő attrakcióbővítése</t>
  </si>
  <si>
    <t>Adrenalin kötélpálya kialakítása</t>
  </si>
  <si>
    <t>Latinovits Színház belső kialakítása ROHU445 CBC Incubator</t>
  </si>
  <si>
    <t>Latinovits Színház belső kialakítása ROHU446 EduCultCentre</t>
  </si>
  <si>
    <t>Latinovits Színház belső kialakítása - nem támogatott költségek</t>
  </si>
  <si>
    <t>GZR-T-Ö-2016-0009 "Jedlik Ányos Terv" Elektromos töltőállomás kialakítása helyi önkormányzatok részére</t>
  </si>
  <si>
    <t xml:space="preserve">Ady Endre Gimnázium energetikai felújítása </t>
  </si>
  <si>
    <t>Hatvani István Általános Iskola energetikai felújítása</t>
  </si>
  <si>
    <t>MLSZ Ovi-Sport program</t>
  </si>
  <si>
    <t>MLSZ Műfüves futballpályák nagyfelújítása - 
Jégcsarnok</t>
  </si>
  <si>
    <t>Thomas Mann utcai Nyugdíjas Ház felújítása</t>
  </si>
  <si>
    <t>Német Iskola kialakítása</t>
  </si>
  <si>
    <t>Vár utca építése</t>
  </si>
  <si>
    <t xml:space="preserve">DIP buszöböl építése </t>
  </si>
  <si>
    <t>Thaly Kálmán u. óvoda kerítés nyitás</t>
  </si>
  <si>
    <t>Pósa u. 1. szám befejezése</t>
  </si>
  <si>
    <t>52625</t>
  </si>
  <si>
    <t>52628</t>
  </si>
  <si>
    <t>52630</t>
  </si>
  <si>
    <t>Automata öntözőrendszerek üzemeltetése, kialakítása</t>
  </si>
  <si>
    <t>Debrecen város közterületein található fák ápolása, növény telepítés, fenntartás</t>
  </si>
  <si>
    <t>Erdőtelepítés, fenntartás</t>
  </si>
  <si>
    <t>Tájépítészeti tervek, tervpályázatok</t>
  </si>
  <si>
    <t>Földhasználati díj ellentételezése</t>
  </si>
  <si>
    <t>Ökumenikus Segélyszervezet támogatása Megyei Jogú Városok Szövetségén keresztül</t>
  </si>
  <si>
    <t>Bocskai István ökölvívó emlékverseny 2020</t>
  </si>
  <si>
    <t>Speedwolf Sportszervező Nonprofit Kft támogatása</t>
  </si>
  <si>
    <t>23.1.16</t>
  </si>
  <si>
    <t>23.1.17</t>
  </si>
  <si>
    <t>Debreceni Egyetem egészségügyi szolgáltatója által nyújtott egészségügyi szolgáltatás - szervezett anyatejgyűjtés - biztosítására</t>
  </si>
  <si>
    <t>Debrecen-Nyíregyházi Egyházmegye támogatása</t>
  </si>
  <si>
    <t>DENOK Nonprofit Kft. támogatása</t>
  </si>
  <si>
    <t>GINOP-7.1.9-17-2018-00030 Debrecen Gyógyhely komplex turisztikai fejlesztése</t>
  </si>
  <si>
    <t>TOP-6.2.1-15-DE1-2016-00004 A Liget Óvoda Bartók Béla úti székhelyének felújítás</t>
  </si>
  <si>
    <t>TOP-6.2.1-15-DE1-2016-00006 A Liget Óvoda Babits Mihály Utcai Telephelyének felújítása</t>
  </si>
  <si>
    <t>Más-Mozaik Szociokulturális Egyesület támogatása</t>
  </si>
  <si>
    <t>15.1.20.1</t>
  </si>
  <si>
    <t>15.1.20.2</t>
  </si>
  <si>
    <t>15.1.20.3</t>
  </si>
  <si>
    <t>15.1.20.4</t>
  </si>
  <si>
    <t>15.1.20.5</t>
  </si>
  <si>
    <t>15.1.20.6</t>
  </si>
  <si>
    <t>15.1.20.7</t>
  </si>
  <si>
    <t>15.1.20.8</t>
  </si>
  <si>
    <t>15.1.20.9</t>
  </si>
  <si>
    <t>15.1.20.10</t>
  </si>
  <si>
    <t>15.1.26</t>
  </si>
  <si>
    <t>Extrém Bringapark kialakítása</t>
  </si>
  <si>
    <t>Szent Efrém Közhasznú Alapítvány támogatása</t>
  </si>
  <si>
    <t>Öt Tálentum Közhasznú Alapítvány támogatása</t>
  </si>
  <si>
    <t>56132</t>
  </si>
  <si>
    <t>56133</t>
  </si>
  <si>
    <t>56134</t>
  </si>
  <si>
    <t>56135</t>
  </si>
  <si>
    <t>56129</t>
  </si>
  <si>
    <t>TOP-6.1.2-16-DE1-2017-00001 Debrecen Inkubációs Központ létrehozása</t>
  </si>
  <si>
    <t>5.2.4</t>
  </si>
  <si>
    <t>(3. oldal)</t>
  </si>
  <si>
    <t>Módosított előirányzat</t>
  </si>
  <si>
    <t>2020. évi módosított előirányzat összege</t>
  </si>
  <si>
    <t>Közbiztonsági feladatok ellátása</t>
  </si>
  <si>
    <t>21.1.23</t>
  </si>
  <si>
    <t>Fertőző megbetegedések megelőzése, járványügyi ellátásokkal összefüggő kiadások</t>
  </si>
  <si>
    <t>5.2.128</t>
  </si>
  <si>
    <t>5.2.129</t>
  </si>
  <si>
    <t>Sportparkok kialakítása</t>
  </si>
  <si>
    <t>Ovi-Sport Közhasznú Alapítvány - Nemzeti Ovi-Sport Program</t>
  </si>
  <si>
    <t>15.1.20.11</t>
  </si>
  <si>
    <t>Egyéb alapítványok évközi támogatása</t>
  </si>
  <si>
    <t>4.2.24</t>
  </si>
  <si>
    <t>KEHOP-1.2.1-18-2019-00246 Debrecen klímastratégiájának kidolgozása, valamint a klímatudatosságot erősítő szemléletformálás</t>
  </si>
  <si>
    <t>28.</t>
  </si>
  <si>
    <t>Debrecen Városi Segélyalap kiadásai összesen</t>
  </si>
  <si>
    <t>MINDÖSSZESEN</t>
  </si>
  <si>
    <r>
      <rPr>
        <b/>
        <u val="single"/>
        <sz val="10"/>
        <rFont val="Arial"/>
        <family val="2"/>
      </rPr>
      <t>Megjegyzés</t>
    </r>
    <r>
      <rPr>
        <sz val="10"/>
        <rFont val="Arial"/>
        <family val="2"/>
      </rPr>
      <t>: a hosszú lejáratú hitelek tőketörlesztése az Áhsz. rendelkezései értelmében finanszírozási kiadásnak minősül, ezért az "Önkormányzat finanszírozási kiadásai" elnevezésű 7. mellékletben került megtervezésre.</t>
    </r>
  </si>
  <si>
    <t>Hitel eredeti összege</t>
  </si>
  <si>
    <t xml:space="preserve">Összesen (kamatfizetés+
egyéb költség)   </t>
  </si>
  <si>
    <r>
      <rPr>
        <b/>
        <u val="single"/>
        <sz val="20"/>
        <rFont val="Arial"/>
        <family val="2"/>
      </rPr>
      <t>Az Önkormányzat központi kezelésű feladatai</t>
    </r>
    <r>
      <rPr>
        <b/>
        <u val="single"/>
        <sz val="16"/>
        <rFont val="Arial"/>
        <family val="2"/>
      </rPr>
      <t xml:space="preserve">
</t>
    </r>
    <r>
      <rPr>
        <sz val="16"/>
        <rFont val="Arial"/>
        <family val="2"/>
      </rPr>
      <t>(költségvetési szervekhez nem rendelt költségvetési kiadások)</t>
    </r>
  </si>
  <si>
    <t>28.1</t>
  </si>
  <si>
    <t>28.2</t>
  </si>
  <si>
    <t>28.3</t>
  </si>
  <si>
    <t>56126</t>
  </si>
  <si>
    <t>1-2-20-3800-0213-2</t>
  </si>
  <si>
    <t>1.1.1.6</t>
  </si>
  <si>
    <t>1.1.1</t>
  </si>
  <si>
    <t>1.1.1.1</t>
  </si>
  <si>
    <t>1.1.1.2</t>
  </si>
  <si>
    <t>1.1.1.3</t>
  </si>
  <si>
    <t>1.1.1.4</t>
  </si>
  <si>
    <t>1.1.1.5</t>
  </si>
  <si>
    <t>1.1.2</t>
  </si>
  <si>
    <t>1.1.2.1</t>
  </si>
  <si>
    <t>1.1.3.1</t>
  </si>
  <si>
    <t>Mindösszesen (dologi kiemelt kiadási előirányzat):</t>
  </si>
  <si>
    <t>Erste Bank Hungary Zrt.
(44 mrd Ft  hitel)</t>
  </si>
  <si>
    <t>OTP Bank Nyrt. (2020. évi folyószámlahitel)</t>
  </si>
  <si>
    <t>5.2.130</t>
  </si>
  <si>
    <t>TOP-6.2.1-19-DE1-2020-00004 Bölcsődei férőhelyek kialakítása Debrecen – Felsőjózsa városrészen</t>
  </si>
  <si>
    <t>DEKERT Nonprofit Kft. közterületi feladataihoz szükséges anyagbeszerzésének támogatása</t>
  </si>
  <si>
    <t xml:space="preserve">Ft-ban </t>
  </si>
  <si>
    <t>1-2-20-3800-0796-4</t>
  </si>
  <si>
    <t>(5. melléklet a 4/2020. (II. 13.) önkormányzati rendelethez)</t>
  </si>
  <si>
    <t>(5.1. melléklet a 4/2020. (II. 13.) önkormányzati rendelethez)</t>
  </si>
  <si>
    <t>(5.2. melléklet a 4/2020. (II. 13.) önkormányzati rendelethez)</t>
  </si>
  <si>
    <t>(5.3. melléklet a 4/2020. (II. 13.) önkormányzati rendelethez)</t>
  </si>
  <si>
    <t>(5.4. melléklet a 4/2020. (II. 13.) önkormányzati rendelethez)</t>
  </si>
  <si>
    <t>(5.5. melléklet a 4/2020. (II. 13.) önkormánnyzati rendelethez)</t>
  </si>
  <si>
    <t>(5.6. melléklet a 4/2020. (II. 13.) önkormányzati rendelethez)</t>
  </si>
  <si>
    <t>(5.7. melléklet a 4/2020. (II. 13.) önkormányzati rendelethez)</t>
  </si>
  <si>
    <t>(5.8. melléklet a 4/2020. (II. 13.) önkormányzati rendelethez)</t>
  </si>
  <si>
    <t>(5.9. melléklet a 4/2020. (II. 13.) önkormányzati rendelethez)</t>
  </si>
  <si>
    <t>(5.10. melléklet a 4/2020. (II. 13.) önkormányzati rendelethez)</t>
  </si>
  <si>
    <t>(5.11. melléklet a 4/2020. (II. 13.) önkormányzati rendelethez)</t>
  </si>
  <si>
    <t>(5.12. melléklet a 4/2020. (II. 13.) önkormányzati rendelethez)</t>
  </si>
  <si>
    <t>(5.13. melléklet a 4/2020. (II. 13.) önkormányzati rendelethez)</t>
  </si>
  <si>
    <t>(5.14. melléklet a 4/2020. (II. 13.) önkormányzati rendelethez)</t>
  </si>
  <si>
    <t>(5.15. melléklet a 4/2020. (II. 13.) önkormányzati rendelethez)</t>
  </si>
  <si>
    <t>(5.16. melléklet a 4/2020. (II. 13.) önkormányzati rendelethez)</t>
  </si>
  <si>
    <t>(5.17. melléklet a 4/2020. (II. 13.) önkormányzati rendelethez)</t>
  </si>
  <si>
    <t>(5.18. melléklet a 4/2020. (II. 13.) önkormányzati rendelethez)</t>
  </si>
  <si>
    <t>(5.19. melléklet a 4/2020. (II. 13.) önkormányzati rendelethez)</t>
  </si>
  <si>
    <t>OTP Bank Nyrt. (1,4 mrd Ft hitel)</t>
  </si>
  <si>
    <t>DEKERT Nonprofit Kft. támogatása</t>
  </si>
  <si>
    <t>16.2.1.6.</t>
  </si>
  <si>
    <t>Debreceni Vasutas Sport Club támogatása</t>
  </si>
  <si>
    <t>Gyermekhíd Alapítvány támogatása</t>
  </si>
  <si>
    <t>Zöld Busz Mintaprojekt</t>
  </si>
  <si>
    <t>5.2.131</t>
  </si>
  <si>
    <t>Debreceni Epreskerti Általános Iskola részére „B” típusú tornaterem építése</t>
  </si>
  <si>
    <t>15. melléklet a 34/2020. (XI. 23.) önkormányzati rendelethez</t>
  </si>
  <si>
    <t>16. melléklet a 34/2020. (XI. 23.) önkormányzati rendelethez</t>
  </si>
  <si>
    <t>17. melléklet a 34/2020. (XI. 23.) önkormányzati rendelethez</t>
  </si>
  <si>
    <t>18. melléklet a 34/2020. (XI. 23.) önkormányzati rendelethez</t>
  </si>
  <si>
    <t>20. melléklet a 34/2020. (XI. 23.) önkormányzati rendelethez</t>
  </si>
  <si>
    <t>21. melléklet a 34/2020. (XI. 23.) önkormányzati rendelethez</t>
  </si>
  <si>
    <t>22. melléklet a 34/2020.(XI. 23.) önkormányzati rendelethez</t>
  </si>
  <si>
    <t>23. melléklet a 34/2020. (XI. 23.) önkormányzati rendelethez</t>
  </si>
  <si>
    <t>24. melléklet a 34/2020. (XI. 23.) önkormányzati rendelethez</t>
  </si>
  <si>
    <t>25. melléklet a 34/2020. (XI. 23.) önkormányzati rendelethez</t>
  </si>
  <si>
    <t>26. melléklet a 34/2020. (XI. 23.) önkormányzati rendelethez</t>
  </si>
  <si>
    <t>27. melléklet a 34/2020. (XI. 23.) önkormányzati rendelethez</t>
  </si>
  <si>
    <t>28. melléklet a 34/2020. (XI. 23.) önkormányzati rendelethez</t>
  </si>
  <si>
    <t>29. melléklet a 34/2020. (XI. 23.) önkormányzati rendelethez</t>
  </si>
  <si>
    <t>30. melléklet a 34/2020. (XI. 23.) önkormányzati rendelethez</t>
  </si>
  <si>
    <t>31. melléklet a 34/2020. (XI. 23.) önkormányzati rendelethez</t>
  </si>
  <si>
    <t>32. melléklet a 34/2020. (XI. 23.) önkormányzati rendelethez</t>
  </si>
  <si>
    <t>33. melléklet a 34/2020. (XI. 23.) önkormányzati rendelethez</t>
  </si>
  <si>
    <t>34. melléklet a 34/2020. (XI. 23.) önkormányzati rendelethez</t>
  </si>
  <si>
    <t>19. melléklet a 34/2020. (XI. 23.) önkormányzati rendelethez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</si>
</sst>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"/>
    <numFmt numFmtId="173" formatCode="yyyy\-mm\-dd;@"/>
    <numFmt numFmtId="174" formatCode="#,##0&quot; Ft&quot;"/>
    <numFmt numFmtId="175" formatCode="_-* #,##0.00\ _F_t_-;\-* #,##0.00\ _F_t_-;_-* \-??\ _F_t_-;_-@_-"/>
    <numFmt numFmtId="176" formatCode="_-* #,##0\ _F_t_-;\-* #,##0\ _F_t_-;_-* \-??\ _F_t_-;_-@_-"/>
    <numFmt numFmtId="177" formatCode="#,##0;\-#,##0"/>
    <numFmt numFmtId="178" formatCode="_-* #,##0.000\ _F_t_-;\-* #,##0.000\ _F_t_-;_-* \-??\ _F_t_-;_-@_-"/>
    <numFmt numFmtId="179" formatCode="_-* #,##0.0\ _F_t_-;\-* #,##0.0\ _F_t_-;_-* \-??\ _F_t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  <numFmt numFmtId="184" formatCode="#,##0\ _F_t"/>
    <numFmt numFmtId="185" formatCode="0.0"/>
    <numFmt numFmtId="186" formatCode="[$-40E]yyyy\.\ mmmm\ d\."/>
    <numFmt numFmtId="187" formatCode="#,##0.0"/>
    <numFmt numFmtId="188" formatCode="_-* #,##0.0000\ _F_t_-;\-* #,##0.0000\ _F_t_-;_-* \-??\ _F_t_-;_-@_-"/>
    <numFmt numFmtId="189" formatCode="0_ ;\-0\ "/>
    <numFmt numFmtId="190" formatCode="#,##0_ ;\-#,##0\ 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sz val="12"/>
      <name val="Times New Roman"/>
      <family val="1"/>
    </font>
    <font>
      <b/>
      <u val="single"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sz val="12"/>
      <name val="Calibri"/>
      <family val="2"/>
    </font>
    <font>
      <b/>
      <sz val="16"/>
      <name val="Arial"/>
      <family val="2"/>
    </font>
    <font>
      <i/>
      <sz val="12"/>
      <name val="Arial"/>
      <family val="2"/>
    </font>
    <font>
      <b/>
      <u val="single"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u val="single"/>
      <sz val="14"/>
      <color rgb="FFFF0000"/>
      <name val="Arial"/>
      <family val="2"/>
    </font>
    <font>
      <b/>
      <sz val="1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ill="0" applyBorder="0" applyAlignment="0" applyProtection="0"/>
  </cellStyleXfs>
  <cellXfs count="530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3" fontId="11" fillId="33" borderId="12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Alignment="1">
      <alignment vertical="center"/>
    </xf>
    <xf numFmtId="0" fontId="0" fillId="0" borderId="0" xfId="58" applyFont="1">
      <alignment/>
      <protection/>
    </xf>
    <xf numFmtId="0" fontId="0" fillId="0" borderId="0" xfId="58">
      <alignment/>
      <protection/>
    </xf>
    <xf numFmtId="0" fontId="0" fillId="0" borderId="0" xfId="58" applyFont="1" applyBorder="1">
      <alignment/>
      <protection/>
    </xf>
    <xf numFmtId="0" fontId="0" fillId="0" borderId="0" xfId="0" applyFont="1" applyBorder="1" applyAlignment="1">
      <alignment horizontal="right" vertical="center"/>
    </xf>
    <xf numFmtId="0" fontId="12" fillId="0" borderId="0" xfId="59" applyFont="1" applyBorder="1" applyAlignment="1">
      <alignment horizontal="center" vertical="center"/>
      <protection/>
    </xf>
    <xf numFmtId="0" fontId="5" fillId="0" borderId="0" xfId="0" applyFont="1" applyAlignment="1">
      <alignment horizontal="right"/>
    </xf>
    <xf numFmtId="0" fontId="0" fillId="0" borderId="10" xfId="58" applyFont="1" applyBorder="1" applyAlignment="1">
      <alignment horizontal="center"/>
      <protection/>
    </xf>
    <xf numFmtId="0" fontId="13" fillId="0" borderId="0" xfId="58" applyFont="1" applyAlignment="1">
      <alignment horizontal="right"/>
      <protection/>
    </xf>
    <xf numFmtId="49" fontId="14" fillId="33" borderId="10" xfId="58" applyNumberFormat="1" applyFont="1" applyFill="1" applyBorder="1" applyAlignment="1">
      <alignment horizontal="right" vertical="center"/>
      <protection/>
    </xf>
    <xf numFmtId="49" fontId="0" fillId="0" borderId="10" xfId="58" applyNumberFormat="1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 vertical="center" wrapText="1"/>
      <protection/>
    </xf>
    <xf numFmtId="172" fontId="0" fillId="0" borderId="10" xfId="59" applyNumberFormat="1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 textRotation="90" wrapText="1"/>
      <protection/>
    </xf>
    <xf numFmtId="3" fontId="13" fillId="0" borderId="10" xfId="59" applyNumberFormat="1" applyFont="1" applyBorder="1" applyAlignment="1">
      <alignment vertical="center"/>
      <protection/>
    </xf>
    <xf numFmtId="3" fontId="13" fillId="0" borderId="10" xfId="59" applyNumberFormat="1" applyFont="1" applyBorder="1" applyAlignment="1">
      <alignment horizontal="right" vertical="center"/>
      <protection/>
    </xf>
    <xf numFmtId="3" fontId="14" fillId="33" borderId="10" xfId="59" applyNumberFormat="1" applyFont="1" applyFill="1" applyBorder="1" applyAlignment="1">
      <alignment horizontal="right" vertical="center"/>
      <protection/>
    </xf>
    <xf numFmtId="3" fontId="13" fillId="0" borderId="10" xfId="59" applyNumberFormat="1" applyFont="1" applyFill="1" applyBorder="1" applyAlignment="1">
      <alignment vertical="center"/>
      <protection/>
    </xf>
    <xf numFmtId="3" fontId="14" fillId="33" borderId="10" xfId="59" applyNumberFormat="1" applyFont="1" applyFill="1" applyBorder="1" applyAlignment="1">
      <alignment vertical="center"/>
      <protection/>
    </xf>
    <xf numFmtId="0" fontId="9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9" fillId="0" borderId="0" xfId="60" applyFont="1" applyAlignment="1">
      <alignment horizontal="right"/>
      <protection/>
    </xf>
    <xf numFmtId="0" fontId="9" fillId="0" borderId="0" xfId="60" applyFont="1" applyBorder="1">
      <alignment/>
      <protection/>
    </xf>
    <xf numFmtId="0" fontId="10" fillId="0" borderId="0" xfId="60" applyFont="1" applyBorder="1" applyAlignment="1">
      <alignment horizontal="center" vertical="center"/>
      <protection/>
    </xf>
    <xf numFmtId="0" fontId="13" fillId="0" borderId="14" xfId="60" applyFont="1" applyBorder="1" applyAlignment="1">
      <alignment vertical="center"/>
      <protection/>
    </xf>
    <xf numFmtId="0" fontId="0" fillId="0" borderId="10" xfId="60" applyFont="1" applyBorder="1" applyAlignment="1">
      <alignment horizontal="center"/>
      <protection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vertical="center" wrapText="1"/>
    </xf>
    <xf numFmtId="3" fontId="11" fillId="33" borderId="10" xfId="0" applyNumberFormat="1" applyFont="1" applyFill="1" applyBorder="1" applyAlignment="1" applyProtection="1">
      <alignment vertical="center" wrapText="1"/>
      <protection/>
    </xf>
    <xf numFmtId="3" fontId="9" fillId="0" borderId="13" xfId="61" applyNumberFormat="1" applyFont="1" applyFill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61" applyNumberFormat="1" applyFont="1" applyFill="1" applyBorder="1" applyAlignment="1">
      <alignment vertical="center" wrapText="1"/>
      <protection/>
    </xf>
    <xf numFmtId="3" fontId="9" fillId="0" borderId="13" xfId="61" applyNumberFormat="1" applyFont="1" applyFill="1" applyBorder="1" applyAlignment="1">
      <alignment vertical="center" wrapText="1"/>
      <protection/>
    </xf>
    <xf numFmtId="49" fontId="9" fillId="0" borderId="13" xfId="61" applyNumberFormat="1" applyFont="1" applyFill="1" applyBorder="1" applyAlignment="1">
      <alignment horizontal="left" vertical="center" wrapText="1"/>
      <protection/>
    </xf>
    <xf numFmtId="0" fontId="9" fillId="34" borderId="13" xfId="61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3" fontId="11" fillId="33" borderId="1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vertical="center" wrapText="1"/>
    </xf>
    <xf numFmtId="3" fontId="11" fillId="33" borderId="13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6" fillId="0" borderId="15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>
      <alignment vertical="center" wrapText="1"/>
    </xf>
    <xf numFmtId="11" fontId="9" fillId="0" borderId="10" xfId="0" applyNumberFormat="1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33" borderId="13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58" applyNumberFormat="1" applyFont="1">
      <alignment/>
      <protection/>
    </xf>
    <xf numFmtId="3" fontId="13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9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13" fillId="0" borderId="0" xfId="0" applyFont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vertical="center" wrapText="1"/>
    </xf>
    <xf numFmtId="3" fontId="11" fillId="33" borderId="22" xfId="0" applyNumberFormat="1" applyFont="1" applyFill="1" applyBorder="1" applyAlignment="1">
      <alignment vertical="center" wrapText="1"/>
    </xf>
    <xf numFmtId="3" fontId="11" fillId="33" borderId="22" xfId="0" applyNumberFormat="1" applyFont="1" applyFill="1" applyBorder="1" applyAlignment="1" applyProtection="1">
      <alignment vertical="center" wrapText="1"/>
      <protection/>
    </xf>
    <xf numFmtId="3" fontId="6" fillId="35" borderId="10" xfId="0" applyNumberFormat="1" applyFont="1" applyFill="1" applyBorder="1" applyAlignment="1" applyProtection="1">
      <alignment vertical="center"/>
      <protection/>
    </xf>
    <xf numFmtId="0" fontId="0" fillId="0" borderId="22" xfId="0" applyFont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3" fontId="13" fillId="0" borderId="22" xfId="61" applyNumberFormat="1" applyFont="1" applyFill="1" applyBorder="1" applyAlignment="1">
      <alignment vertical="center" wrapText="1"/>
      <protection/>
    </xf>
    <xf numFmtId="0" fontId="13" fillId="0" borderId="22" xfId="0" applyFont="1" applyFill="1" applyBorder="1" applyAlignment="1">
      <alignment wrapText="1"/>
    </xf>
    <xf numFmtId="3" fontId="6" fillId="33" borderId="22" xfId="0" applyNumberFormat="1" applyFont="1" applyFill="1" applyBorder="1" applyAlignment="1">
      <alignment vertical="center" wrapText="1"/>
    </xf>
    <xf numFmtId="3" fontId="6" fillId="0" borderId="22" xfId="0" applyNumberFormat="1" applyFont="1" applyFill="1" applyBorder="1" applyAlignment="1" applyProtection="1">
      <alignment vertical="center" wrapText="1"/>
      <protection/>
    </xf>
    <xf numFmtId="3" fontId="6" fillId="0" borderId="22" xfId="0" applyNumberFormat="1" applyFont="1" applyFill="1" applyBorder="1" applyAlignment="1" applyProtection="1">
      <alignment vertical="center"/>
      <protection/>
    </xf>
    <xf numFmtId="3" fontId="6" fillId="33" borderId="22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 wrapText="1"/>
    </xf>
    <xf numFmtId="3" fontId="11" fillId="33" borderId="22" xfId="0" applyNumberFormat="1" applyFont="1" applyFill="1" applyBorder="1" applyAlignment="1">
      <alignment vertical="center"/>
    </xf>
    <xf numFmtId="3" fontId="11" fillId="33" borderId="22" xfId="0" applyNumberFormat="1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3" fontId="6" fillId="0" borderId="23" xfId="0" applyNumberFormat="1" applyFont="1" applyFill="1" applyBorder="1" applyAlignment="1" applyProtection="1">
      <alignment vertical="center"/>
      <protection/>
    </xf>
    <xf numFmtId="0" fontId="13" fillId="0" borderId="22" xfId="56" applyFont="1" applyFill="1" applyBorder="1" applyAlignment="1">
      <alignment horizontal="left" vertical="center" wrapText="1"/>
      <protection/>
    </xf>
    <xf numFmtId="0" fontId="0" fillId="33" borderId="24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76" fontId="0" fillId="0" borderId="0" xfId="0" applyNumberFormat="1" applyAlignment="1">
      <alignment/>
    </xf>
    <xf numFmtId="0" fontId="9" fillId="35" borderId="10" xfId="0" applyFont="1" applyFill="1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3" fontId="11" fillId="33" borderId="13" xfId="0" applyNumberFormat="1" applyFont="1" applyFill="1" applyBorder="1" applyAlignment="1" applyProtection="1">
      <alignment vertical="center" wrapText="1"/>
      <protection/>
    </xf>
    <xf numFmtId="3" fontId="6" fillId="0" borderId="13" xfId="0" applyNumberFormat="1" applyFont="1" applyFill="1" applyBorder="1" applyAlignment="1" applyProtection="1">
      <alignment vertical="center" wrapText="1"/>
      <protection/>
    </xf>
    <xf numFmtId="3" fontId="6" fillId="0" borderId="13" xfId="0" applyNumberFormat="1" applyFont="1" applyFill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3" fontId="6" fillId="33" borderId="13" xfId="0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3" fontId="6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/>
    </xf>
    <xf numFmtId="3" fontId="11" fillId="0" borderId="13" xfId="0" applyNumberFormat="1" applyFont="1" applyFill="1" applyBorder="1" applyAlignment="1" applyProtection="1">
      <alignment vertical="center"/>
      <protection/>
    </xf>
    <xf numFmtId="3" fontId="6" fillId="0" borderId="13" xfId="0" applyNumberFormat="1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11" fillId="33" borderId="25" xfId="0" applyNumberFormat="1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0" fillId="0" borderId="13" xfId="60" applyFont="1" applyBorder="1" applyAlignment="1">
      <alignment horizontal="center"/>
      <protection/>
    </xf>
    <xf numFmtId="0" fontId="0" fillId="0" borderId="15" xfId="60" applyFont="1" applyBorder="1" applyAlignment="1">
      <alignment horizontal="center"/>
      <protection/>
    </xf>
    <xf numFmtId="0" fontId="13" fillId="0" borderId="0" xfId="0" applyFont="1" applyAlignment="1">
      <alignment horizontal="right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/>
    </xf>
    <xf numFmtId="0" fontId="0" fillId="0" borderId="22" xfId="0" applyBorder="1" applyAlignment="1">
      <alignment wrapText="1"/>
    </xf>
    <xf numFmtId="0" fontId="8" fillId="0" borderId="22" xfId="0" applyFont="1" applyBorder="1" applyAlignment="1">
      <alignment/>
    </xf>
    <xf numFmtId="49" fontId="68" fillId="0" borderId="10" xfId="0" applyNumberFormat="1" applyFont="1" applyFill="1" applyBorder="1" applyAlignment="1">
      <alignment horizontal="center" vertical="center" wrapText="1"/>
    </xf>
    <xf numFmtId="3" fontId="9" fillId="0" borderId="0" xfId="60" applyNumberFormat="1" applyFont="1">
      <alignment/>
      <protection/>
    </xf>
    <xf numFmtId="49" fontId="9" fillId="33" borderId="10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3" fontId="6" fillId="0" borderId="22" xfId="0" applyNumberFormat="1" applyFont="1" applyBorder="1" applyAlignment="1">
      <alignment horizontal="center" vertical="center"/>
    </xf>
    <xf numFmtId="49" fontId="9" fillId="35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3" fontId="9" fillId="0" borderId="0" xfId="0" applyNumberFormat="1" applyFont="1" applyFill="1" applyBorder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/>
    </xf>
    <xf numFmtId="0" fontId="0" fillId="0" borderId="0" xfId="0" applyFill="1" applyBorder="1" applyAlignment="1" quotePrefix="1">
      <alignment/>
    </xf>
    <xf numFmtId="3" fontId="0" fillId="0" borderId="0" xfId="0" applyNumberFormat="1" applyFill="1" applyBorder="1" applyAlignment="1">
      <alignment/>
    </xf>
    <xf numFmtId="3" fontId="69" fillId="0" borderId="0" xfId="0" applyNumberFormat="1" applyFont="1" applyFill="1" applyBorder="1" applyAlignment="1">
      <alignment/>
    </xf>
    <xf numFmtId="3" fontId="7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vertical="center" wrapText="1"/>
    </xf>
    <xf numFmtId="3" fontId="71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69" fillId="0" borderId="0" xfId="0" applyNumberFormat="1" applyFont="1" applyFill="1" applyBorder="1" applyAlignment="1">
      <alignment vertical="center" wrapText="1"/>
    </xf>
    <xf numFmtId="3" fontId="72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49" fontId="9" fillId="35" borderId="22" xfId="0" applyNumberFormat="1" applyFont="1" applyFill="1" applyBorder="1" applyAlignment="1">
      <alignment horizontal="center" vertical="center" wrapText="1"/>
    </xf>
    <xf numFmtId="0" fontId="20" fillId="37" borderId="22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10" fillId="0" borderId="2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6" fillId="33" borderId="15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13" fillId="0" borderId="22" xfId="61" applyNumberFormat="1" applyFont="1" applyFill="1" applyBorder="1" applyAlignment="1">
      <alignment horizontal="left" vertical="center" wrapText="1"/>
      <protection/>
    </xf>
    <xf numFmtId="0" fontId="6" fillId="35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22" xfId="0" applyNumberFormat="1" applyFont="1" applyBorder="1" applyAlignment="1">
      <alignment/>
    </xf>
    <xf numFmtId="0" fontId="0" fillId="35" borderId="22" xfId="0" applyFill="1" applyBorder="1" applyAlignment="1">
      <alignment horizontal="center" vertical="center"/>
    </xf>
    <xf numFmtId="3" fontId="6" fillId="0" borderId="27" xfId="0" applyNumberFormat="1" applyFont="1" applyFill="1" applyBorder="1" applyAlignment="1" applyProtection="1">
      <alignment vertical="center"/>
      <protection/>
    </xf>
    <xf numFmtId="176" fontId="0" fillId="0" borderId="0" xfId="40" applyNumberFormat="1" applyAlignment="1">
      <alignment/>
    </xf>
    <xf numFmtId="176" fontId="6" fillId="0" borderId="0" xfId="0" applyNumberFormat="1" applyFont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176" fontId="6" fillId="0" borderId="0" xfId="40" applyNumberFormat="1" applyFont="1" applyAlignment="1">
      <alignment/>
    </xf>
    <xf numFmtId="176" fontId="0" fillId="0" borderId="0" xfId="40" applyNumberFormat="1" applyBorder="1" applyAlignment="1">
      <alignment horizontal="right"/>
    </xf>
    <xf numFmtId="176" fontId="0" fillId="0" borderId="10" xfId="40" applyNumberFormat="1" applyBorder="1" applyAlignment="1">
      <alignment horizontal="center"/>
    </xf>
    <xf numFmtId="176" fontId="0" fillId="34" borderId="0" xfId="40" applyNumberFormat="1" applyFill="1" applyAlignment="1">
      <alignment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89" fontId="0" fillId="0" borderId="0" xfId="40" applyNumberFormat="1" applyBorder="1" applyAlignment="1">
      <alignment horizontal="right"/>
    </xf>
    <xf numFmtId="189" fontId="0" fillId="0" borderId="0" xfId="40" applyNumberFormat="1" applyAlignment="1">
      <alignment horizontal="center" vertical="center" wrapText="1"/>
    </xf>
    <xf numFmtId="190" fontId="0" fillId="0" borderId="0" xfId="40" applyNumberFormat="1" applyBorder="1" applyAlignment="1">
      <alignment horizontal="right"/>
    </xf>
    <xf numFmtId="190" fontId="0" fillId="0" borderId="0" xfId="40" applyNumberFormat="1" applyAlignment="1">
      <alignment horizontal="right"/>
    </xf>
    <xf numFmtId="190" fontId="0" fillId="0" borderId="10" xfId="40" applyNumberFormat="1" applyBorder="1" applyAlignment="1">
      <alignment horizontal="center"/>
    </xf>
    <xf numFmtId="190" fontId="0" fillId="0" borderId="22" xfId="40" applyNumberFormat="1" applyBorder="1" applyAlignment="1">
      <alignment horizontal="center"/>
    </xf>
    <xf numFmtId="190" fontId="0" fillId="33" borderId="11" xfId="40" applyNumberFormat="1" applyFill="1" applyBorder="1" applyAlignment="1">
      <alignment horizontal="center" vertical="center" wrapText="1"/>
    </xf>
    <xf numFmtId="190" fontId="0" fillId="0" borderId="0" xfId="40" applyNumberFormat="1" applyAlignment="1">
      <alignment/>
    </xf>
    <xf numFmtId="0" fontId="5" fillId="0" borderId="0" xfId="0" applyFont="1" applyAlignment="1">
      <alignment/>
    </xf>
    <xf numFmtId="0" fontId="7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33" borderId="28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vertical="center" wrapText="1"/>
    </xf>
    <xf numFmtId="3" fontId="11" fillId="33" borderId="31" xfId="0" applyNumberFormat="1" applyFont="1" applyFill="1" applyBorder="1" applyAlignment="1">
      <alignment vertical="center"/>
    </xf>
    <xf numFmtId="3" fontId="11" fillId="33" borderId="32" xfId="0" applyNumberFormat="1" applyFont="1" applyFill="1" applyBorder="1" applyAlignment="1">
      <alignment vertical="center"/>
    </xf>
    <xf numFmtId="3" fontId="11" fillId="33" borderId="33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3" fontId="6" fillId="0" borderId="34" xfId="0" applyNumberFormat="1" applyFont="1" applyFill="1" applyBorder="1" applyAlignment="1" applyProtection="1">
      <alignment vertical="center"/>
      <protection/>
    </xf>
    <xf numFmtId="3" fontId="6" fillId="0" borderId="35" xfId="0" applyNumberFormat="1" applyFont="1" applyFill="1" applyBorder="1" applyAlignment="1" applyProtection="1">
      <alignment vertical="center"/>
      <protection/>
    </xf>
    <xf numFmtId="3" fontId="6" fillId="0" borderId="35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 applyProtection="1">
      <alignment vertical="center"/>
      <protection/>
    </xf>
    <xf numFmtId="3" fontId="6" fillId="0" borderId="37" xfId="0" applyNumberFormat="1" applyFont="1" applyFill="1" applyBorder="1" applyAlignment="1" applyProtection="1">
      <alignment vertical="center"/>
      <protection/>
    </xf>
    <xf numFmtId="3" fontId="6" fillId="0" borderId="37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vertical="center" wrapText="1"/>
    </xf>
    <xf numFmtId="3" fontId="6" fillId="0" borderId="39" xfId="0" applyNumberFormat="1" applyFont="1" applyFill="1" applyBorder="1" applyAlignment="1" applyProtection="1">
      <alignment vertical="center"/>
      <protection/>
    </xf>
    <xf numFmtId="3" fontId="6" fillId="0" borderId="40" xfId="0" applyNumberFormat="1" applyFont="1" applyFill="1" applyBorder="1" applyAlignment="1" applyProtection="1">
      <alignment vertical="center"/>
      <protection/>
    </xf>
    <xf numFmtId="3" fontId="6" fillId="0" borderId="40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3" fontId="11" fillId="33" borderId="2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 applyProtection="1" quotePrefix="1">
      <alignment vertical="center"/>
      <protection/>
    </xf>
    <xf numFmtId="49" fontId="9" fillId="0" borderId="11" xfId="0" applyNumberFormat="1" applyFont="1" applyFill="1" applyBorder="1" applyAlignment="1">
      <alignment horizontal="center" vertical="center" wrapText="1"/>
    </xf>
    <xf numFmtId="3" fontId="6" fillId="0" borderId="41" xfId="0" applyNumberFormat="1" applyFont="1" applyFill="1" applyBorder="1" applyAlignment="1" applyProtection="1">
      <alignment vertical="center"/>
      <protection/>
    </xf>
    <xf numFmtId="3" fontId="6" fillId="0" borderId="42" xfId="0" applyNumberFormat="1" applyFont="1" applyFill="1" applyBorder="1" applyAlignment="1" applyProtection="1">
      <alignment vertical="center"/>
      <protection/>
    </xf>
    <xf numFmtId="3" fontId="11" fillId="33" borderId="43" xfId="0" applyNumberFormat="1" applyFont="1" applyFill="1" applyBorder="1" applyAlignment="1" applyProtection="1">
      <alignment vertical="center"/>
      <protection/>
    </xf>
    <xf numFmtId="3" fontId="11" fillId="33" borderId="44" xfId="0" applyNumberFormat="1" applyFont="1" applyFill="1" applyBorder="1" applyAlignment="1">
      <alignment vertical="center"/>
    </xf>
    <xf numFmtId="3" fontId="11" fillId="33" borderId="44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/>
    </xf>
    <xf numFmtId="176" fontId="74" fillId="0" borderId="0" xfId="40" applyNumberFormat="1" applyFont="1" applyAlignment="1">
      <alignment horizontal="right" indent="1"/>
    </xf>
    <xf numFmtId="3" fontId="1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190" fontId="12" fillId="33" borderId="10" xfId="40" applyNumberFormat="1" applyFont="1" applyFill="1" applyBorder="1" applyAlignment="1" applyProtection="1">
      <alignment vertical="center"/>
      <protection/>
    </xf>
    <xf numFmtId="3" fontId="0" fillId="0" borderId="0" xfId="40" applyNumberFormat="1" applyBorder="1" applyAlignment="1">
      <alignment horizontal="right"/>
    </xf>
    <xf numFmtId="3" fontId="0" fillId="0" borderId="10" xfId="40" applyNumberFormat="1" applyBorder="1" applyAlignment="1">
      <alignment horizontal="center"/>
    </xf>
    <xf numFmtId="3" fontId="12" fillId="33" borderId="15" xfId="40" applyNumberFormat="1" applyFont="1" applyFill="1" applyBorder="1" applyAlignment="1">
      <alignment vertical="center"/>
    </xf>
    <xf numFmtId="3" fontId="0" fillId="0" borderId="0" xfId="40" applyNumberFormat="1" applyAlignment="1">
      <alignment/>
    </xf>
    <xf numFmtId="3" fontId="11" fillId="33" borderId="15" xfId="40" applyNumberFormat="1" applyFont="1" applyFill="1" applyBorder="1" applyAlignment="1">
      <alignment horizontal="right" vertical="center"/>
    </xf>
    <xf numFmtId="190" fontId="11" fillId="33" borderId="10" xfId="40" applyNumberFormat="1" applyFont="1" applyFill="1" applyBorder="1" applyAlignment="1" applyProtection="1">
      <alignment horizontal="right" vertical="center"/>
      <protection/>
    </xf>
    <xf numFmtId="3" fontId="6" fillId="33" borderId="15" xfId="40" applyNumberFormat="1" applyFont="1" applyFill="1" applyBorder="1" applyAlignment="1">
      <alignment horizontal="right" vertical="center"/>
    </xf>
    <xf numFmtId="190" fontId="6" fillId="0" borderId="10" xfId="40" applyNumberFormat="1" applyFont="1" applyFill="1" applyBorder="1" applyAlignment="1" applyProtection="1">
      <alignment horizontal="right" vertical="center"/>
      <protection/>
    </xf>
    <xf numFmtId="190" fontId="6" fillId="0" borderId="13" xfId="40" applyNumberFormat="1" applyFont="1" applyFill="1" applyBorder="1" applyAlignment="1" applyProtection="1">
      <alignment horizontal="right" vertical="center"/>
      <protection/>
    </xf>
    <xf numFmtId="190" fontId="6" fillId="0" borderId="15" xfId="40" applyNumberFormat="1" applyFont="1" applyFill="1" applyBorder="1" applyAlignment="1">
      <alignment horizontal="right" vertical="center"/>
    </xf>
    <xf numFmtId="190" fontId="6" fillId="34" borderId="15" xfId="40" applyNumberFormat="1" applyFont="1" applyFill="1" applyBorder="1" applyAlignment="1">
      <alignment horizontal="right" vertical="center"/>
    </xf>
    <xf numFmtId="190" fontId="6" fillId="0" borderId="45" xfId="40" applyNumberFormat="1" applyFont="1" applyFill="1" applyBorder="1" applyAlignment="1">
      <alignment horizontal="right" vertical="center"/>
    </xf>
    <xf numFmtId="190" fontId="6" fillId="0" borderId="15" xfId="40" applyNumberFormat="1" applyFont="1" applyFill="1" applyBorder="1" applyAlignment="1">
      <alignment horizontal="left" vertical="center"/>
    </xf>
    <xf numFmtId="190" fontId="6" fillId="33" borderId="10" xfId="40" applyNumberFormat="1" applyFont="1" applyFill="1" applyBorder="1" applyAlignment="1" applyProtection="1">
      <alignment horizontal="right" vertical="center"/>
      <protection/>
    </xf>
    <xf numFmtId="190" fontId="6" fillId="33" borderId="13" xfId="40" applyNumberFormat="1" applyFont="1" applyFill="1" applyBorder="1" applyAlignment="1" applyProtection="1">
      <alignment horizontal="right" vertical="center"/>
      <protection/>
    </xf>
    <xf numFmtId="176" fontId="9" fillId="0" borderId="10" xfId="40" applyNumberFormat="1" applyFont="1" applyFill="1" applyBorder="1" applyAlignment="1">
      <alignment horizontal="center" vertical="center" wrapText="1"/>
    </xf>
    <xf numFmtId="176" fontId="9" fillId="33" borderId="13" xfId="40" applyNumberFormat="1" applyFont="1" applyFill="1" applyBorder="1" applyAlignment="1">
      <alignment vertical="center" wrapText="1"/>
    </xf>
    <xf numFmtId="176" fontId="9" fillId="0" borderId="11" xfId="40" applyNumberFormat="1" applyFont="1" applyFill="1" applyBorder="1" applyAlignment="1">
      <alignment horizontal="center" vertical="center" wrapText="1"/>
    </xf>
    <xf numFmtId="176" fontId="9" fillId="33" borderId="24" xfId="40" applyNumberFormat="1" applyFont="1" applyFill="1" applyBorder="1" applyAlignment="1">
      <alignment vertical="center" wrapText="1"/>
    </xf>
    <xf numFmtId="176" fontId="9" fillId="0" borderId="13" xfId="40" applyNumberFormat="1" applyFont="1" applyFill="1" applyBorder="1" applyAlignment="1">
      <alignment vertical="center" wrapText="1"/>
    </xf>
    <xf numFmtId="176" fontId="9" fillId="0" borderId="13" xfId="40" applyNumberFormat="1" applyFont="1" applyFill="1" applyBorder="1" applyAlignment="1">
      <alignment horizontal="center" vertical="center" wrapText="1"/>
    </xf>
    <xf numFmtId="176" fontId="9" fillId="35" borderId="22" xfId="40" applyNumberFormat="1" applyFont="1" applyFill="1" applyBorder="1" applyAlignment="1">
      <alignment horizontal="center" vertical="center" wrapText="1"/>
    </xf>
    <xf numFmtId="176" fontId="9" fillId="37" borderId="22" xfId="40" applyNumberFormat="1" applyFont="1" applyFill="1" applyBorder="1" applyAlignment="1">
      <alignment vertical="center" wrapText="1"/>
    </xf>
    <xf numFmtId="176" fontId="9" fillId="34" borderId="13" xfId="40" applyNumberFormat="1" applyFont="1" applyFill="1" applyBorder="1" applyAlignment="1">
      <alignment horizontal="center" vertical="center" wrapText="1"/>
    </xf>
    <xf numFmtId="176" fontId="9" fillId="37" borderId="22" xfId="40" applyNumberFormat="1" applyFont="1" applyFill="1" applyBorder="1" applyAlignment="1">
      <alignment horizontal="center" vertical="center" wrapText="1"/>
    </xf>
    <xf numFmtId="176" fontId="9" fillId="37" borderId="22" xfId="40" applyNumberFormat="1" applyFont="1" applyFill="1" applyBorder="1" applyAlignment="1">
      <alignment horizontal="left" vertical="center" wrapText="1"/>
    </xf>
    <xf numFmtId="176" fontId="9" fillId="35" borderId="22" xfId="40" applyNumberFormat="1" applyFont="1" applyFill="1" applyBorder="1" applyAlignment="1">
      <alignment vertical="center" wrapText="1"/>
    </xf>
    <xf numFmtId="176" fontId="9" fillId="38" borderId="22" xfId="40" applyNumberFormat="1" applyFont="1" applyFill="1" applyBorder="1" applyAlignment="1">
      <alignment vertical="center" wrapText="1"/>
    </xf>
    <xf numFmtId="176" fontId="9" fillId="0" borderId="12" xfId="40" applyNumberFormat="1" applyFont="1" applyFill="1" applyBorder="1" applyAlignment="1">
      <alignment horizontal="center" vertical="center" wrapText="1"/>
    </xf>
    <xf numFmtId="176" fontId="9" fillId="33" borderId="26" xfId="40" applyNumberFormat="1" applyFont="1" applyFill="1" applyBorder="1" applyAlignment="1">
      <alignment vertical="center" wrapText="1"/>
    </xf>
    <xf numFmtId="49" fontId="9" fillId="0" borderId="22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3" fontId="22" fillId="0" borderId="10" xfId="61" applyNumberFormat="1" applyFont="1" applyFill="1" applyBorder="1" applyAlignment="1">
      <alignment vertical="center" wrapText="1"/>
      <protection/>
    </xf>
    <xf numFmtId="0" fontId="22" fillId="0" borderId="10" xfId="0" applyFont="1" applyFill="1" applyBorder="1" applyAlignment="1">
      <alignment vertical="center"/>
    </xf>
    <xf numFmtId="0" fontId="6" fillId="35" borderId="22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 wrapText="1"/>
    </xf>
    <xf numFmtId="49" fontId="9" fillId="37" borderId="22" xfId="4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0" fillId="33" borderId="10" xfId="59" applyFont="1" applyFill="1" applyBorder="1" applyAlignment="1">
      <alignment horizontal="center" vertical="center" wrapText="1"/>
      <protection/>
    </xf>
    <xf numFmtId="0" fontId="10" fillId="33" borderId="10" xfId="59" applyFont="1" applyFill="1" applyBorder="1" applyAlignment="1">
      <alignment horizontal="right" vertical="center" textRotation="90" wrapText="1"/>
      <protection/>
    </xf>
    <xf numFmtId="3" fontId="10" fillId="33" borderId="10" xfId="60" applyNumberFormat="1" applyFont="1" applyFill="1" applyBorder="1" applyAlignment="1">
      <alignment horizontal="right" vertical="center"/>
      <protection/>
    </xf>
    <xf numFmtId="172" fontId="9" fillId="0" borderId="10" xfId="59" applyNumberFormat="1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 vertical="center" textRotation="90" wrapText="1"/>
      <protection/>
    </xf>
    <xf numFmtId="3" fontId="9" fillId="0" borderId="10" xfId="60" applyNumberFormat="1" applyFont="1" applyBorder="1" applyAlignment="1" applyProtection="1">
      <alignment vertical="center"/>
      <protection locked="0"/>
    </xf>
    <xf numFmtId="3" fontId="10" fillId="33" borderId="10" xfId="59" applyNumberFormat="1" applyFont="1" applyFill="1" applyBorder="1" applyAlignment="1">
      <alignment vertical="center"/>
      <protection/>
    </xf>
    <xf numFmtId="3" fontId="10" fillId="33" borderId="10" xfId="59" applyNumberFormat="1" applyFont="1" applyFill="1" applyBorder="1" applyAlignment="1">
      <alignment horizontal="right" vertical="center"/>
      <protection/>
    </xf>
    <xf numFmtId="3" fontId="9" fillId="0" borderId="10" xfId="59" applyNumberFormat="1" applyFont="1" applyBorder="1" applyAlignment="1" applyProtection="1">
      <alignment vertical="center"/>
      <protection locked="0"/>
    </xf>
    <xf numFmtId="3" fontId="10" fillId="33" borderId="10" xfId="59" applyNumberFormat="1" applyFont="1" applyFill="1" applyBorder="1" applyAlignment="1">
      <alignment horizontal="center" vertical="center" textRotation="90" wrapText="1"/>
      <protection/>
    </xf>
    <xf numFmtId="0" fontId="17" fillId="0" borderId="0" xfId="60" applyFont="1" applyAlignment="1">
      <alignment/>
      <protection/>
    </xf>
    <xf numFmtId="0" fontId="18" fillId="0" borderId="0" xfId="60" applyFont="1" applyBorder="1" applyAlignment="1">
      <alignment vertical="center"/>
      <protection/>
    </xf>
    <xf numFmtId="0" fontId="13" fillId="0" borderId="46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vertical="center" wrapText="1"/>
    </xf>
    <xf numFmtId="0" fontId="0" fillId="33" borderId="25" xfId="0" applyFont="1" applyFill="1" applyBorder="1" applyAlignment="1">
      <alignment horizontal="center" vertical="center" wrapText="1"/>
    </xf>
    <xf numFmtId="190" fontId="0" fillId="33" borderId="24" xfId="40" applyNumberFormat="1" applyFill="1" applyBorder="1" applyAlignment="1">
      <alignment horizontal="center" vertical="center" wrapText="1"/>
    </xf>
    <xf numFmtId="190" fontId="12" fillId="33" borderId="13" xfId="40" applyNumberFormat="1" applyFont="1" applyFill="1" applyBorder="1" applyAlignment="1">
      <alignment vertical="center"/>
    </xf>
    <xf numFmtId="190" fontId="11" fillId="33" borderId="13" xfId="40" applyNumberFormat="1" applyFont="1" applyFill="1" applyBorder="1" applyAlignment="1" applyProtection="1">
      <alignment horizontal="right" vertical="center"/>
      <protection/>
    </xf>
    <xf numFmtId="190" fontId="6" fillId="33" borderId="13" xfId="40" applyNumberFormat="1" applyFont="1" applyFill="1" applyBorder="1" applyAlignment="1">
      <alignment horizontal="right" vertical="center"/>
    </xf>
    <xf numFmtId="189" fontId="0" fillId="0" borderId="46" xfId="4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90" fontId="6" fillId="0" borderId="22" xfId="40" applyNumberFormat="1" applyFont="1" applyFill="1" applyBorder="1" applyAlignment="1" applyProtection="1">
      <alignment horizontal="right" vertical="center"/>
      <protection/>
    </xf>
    <xf numFmtId="190" fontId="11" fillId="33" borderId="22" xfId="40" applyNumberFormat="1" applyFont="1" applyFill="1" applyBorder="1" applyAlignment="1" applyProtection="1">
      <alignment horizontal="right" vertical="center"/>
      <protection/>
    </xf>
    <xf numFmtId="190" fontId="0" fillId="0" borderId="10" xfId="40" applyNumberFormat="1" applyBorder="1" applyAlignment="1">
      <alignment horizontal="center" wrapText="1"/>
    </xf>
    <xf numFmtId="190" fontId="0" fillId="0" borderId="13" xfId="40" applyNumberForma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176" fontId="0" fillId="0" borderId="0" xfId="40" applyNumberFormat="1" applyAlignment="1">
      <alignment horizontal="center"/>
    </xf>
    <xf numFmtId="190" fontId="12" fillId="33" borderId="25" xfId="40" applyNumberFormat="1" applyFont="1" applyFill="1" applyBorder="1" applyAlignment="1">
      <alignment vertical="center"/>
    </xf>
    <xf numFmtId="0" fontId="9" fillId="0" borderId="24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vertical="center" wrapText="1"/>
    </xf>
    <xf numFmtId="190" fontId="6" fillId="0" borderId="46" xfId="40" applyNumberFormat="1" applyFont="1" applyFill="1" applyBorder="1" applyAlignment="1" applyProtection="1">
      <alignment horizontal="right" vertical="center"/>
      <protection/>
    </xf>
    <xf numFmtId="190" fontId="11" fillId="33" borderId="24" xfId="40" applyNumberFormat="1" applyFont="1" applyFill="1" applyBorder="1" applyAlignment="1" applyProtection="1">
      <alignment horizontal="right" vertical="center"/>
      <protection/>
    </xf>
    <xf numFmtId="190" fontId="6" fillId="33" borderId="26" xfId="40" applyNumberFormat="1" applyFont="1" applyFill="1" applyBorder="1" applyAlignment="1">
      <alignment horizontal="right" vertical="center"/>
    </xf>
    <xf numFmtId="190" fontId="6" fillId="0" borderId="22" xfId="40" applyNumberFormat="1" applyFont="1" applyFill="1" applyBorder="1" applyAlignment="1">
      <alignment horizontal="right" vertical="center"/>
    </xf>
    <xf numFmtId="190" fontId="6" fillId="33" borderId="48" xfId="40" applyNumberFormat="1" applyFont="1" applyFill="1" applyBorder="1" applyAlignment="1">
      <alignment horizontal="right" vertical="center"/>
    </xf>
    <xf numFmtId="189" fontId="6" fillId="0" borderId="22" xfId="40" applyNumberFormat="1" applyFont="1" applyBorder="1" applyAlignment="1">
      <alignment horizontal="center" vertical="center" wrapText="1"/>
    </xf>
    <xf numFmtId="189" fontId="6" fillId="34" borderId="22" xfId="40" applyNumberFormat="1" applyFont="1" applyFill="1" applyBorder="1" applyAlignment="1">
      <alignment horizontal="center" vertical="center" wrapText="1"/>
    </xf>
    <xf numFmtId="189" fontId="6" fillId="0" borderId="22" xfId="40" applyNumberFormat="1" applyFont="1" applyFill="1" applyBorder="1" applyAlignment="1">
      <alignment horizontal="center" vertical="center" wrapText="1"/>
    </xf>
    <xf numFmtId="3" fontId="11" fillId="33" borderId="49" xfId="0" applyNumberFormat="1" applyFont="1" applyFill="1" applyBorder="1" applyAlignment="1">
      <alignment vertical="center"/>
    </xf>
    <xf numFmtId="3" fontId="11" fillId="36" borderId="49" xfId="0" applyNumberFormat="1" applyFont="1" applyFill="1" applyBorder="1" applyAlignment="1" applyProtection="1">
      <alignment vertical="center"/>
      <protection/>
    </xf>
    <xf numFmtId="0" fontId="0" fillId="0" borderId="0" xfId="58" applyFont="1" applyAlignment="1">
      <alignment/>
      <protection/>
    </xf>
    <xf numFmtId="0" fontId="0" fillId="0" borderId="10" xfId="59" applyFont="1" applyBorder="1" applyAlignment="1">
      <alignment horizontal="center" vertical="center" wrapText="1"/>
      <protection/>
    </xf>
    <xf numFmtId="172" fontId="0" fillId="0" borderId="10" xfId="59" applyNumberFormat="1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 textRotation="90" wrapText="1"/>
      <protection/>
    </xf>
    <xf numFmtId="3" fontId="0" fillId="0" borderId="10" xfId="60" applyNumberFormat="1" applyFont="1" applyBorder="1" applyAlignment="1" applyProtection="1">
      <alignment vertical="center"/>
      <protection locked="0"/>
    </xf>
    <xf numFmtId="173" fontId="0" fillId="0" borderId="10" xfId="59" applyNumberFormat="1" applyFont="1" applyBorder="1" applyAlignment="1">
      <alignment horizontal="center" vertical="center" wrapText="1"/>
      <protection/>
    </xf>
    <xf numFmtId="0" fontId="10" fillId="36" borderId="10" xfId="0" applyFont="1" applyFill="1" applyBorder="1" applyAlignment="1">
      <alignment vertical="center" wrapText="1"/>
    </xf>
    <xf numFmtId="3" fontId="11" fillId="39" borderId="10" xfId="0" applyNumberFormat="1" applyFont="1" applyFill="1" applyBorder="1" applyAlignment="1">
      <alignment vertical="center"/>
    </xf>
    <xf numFmtId="3" fontId="11" fillId="36" borderId="10" xfId="0" applyNumberFormat="1" applyFont="1" applyFill="1" applyBorder="1" applyAlignment="1" applyProtection="1">
      <alignment vertical="center"/>
      <protection/>
    </xf>
    <xf numFmtId="0" fontId="13" fillId="0" borderId="22" xfId="58" applyFont="1" applyBorder="1" applyAlignment="1">
      <alignment horizontal="right"/>
      <protection/>
    </xf>
    <xf numFmtId="49" fontId="0" fillId="0" borderId="15" xfId="58" applyNumberFormat="1" applyFont="1" applyBorder="1" applyAlignment="1">
      <alignment horizontal="center" vertical="center"/>
      <protection/>
    </xf>
    <xf numFmtId="0" fontId="0" fillId="35" borderId="22" xfId="0" applyFill="1" applyBorder="1" applyAlignment="1">
      <alignment horizontal="center"/>
    </xf>
    <xf numFmtId="0" fontId="0" fillId="0" borderId="15" xfId="58" applyFont="1" applyBorder="1" applyAlignment="1">
      <alignment horizontal="center"/>
      <protection/>
    </xf>
    <xf numFmtId="49" fontId="14" fillId="33" borderId="22" xfId="58" applyNumberFormat="1" applyFont="1" applyFill="1" applyBorder="1" applyAlignment="1">
      <alignment horizontal="center" vertical="center"/>
      <protection/>
    </xf>
    <xf numFmtId="0" fontId="0" fillId="36" borderId="22" xfId="0" applyFill="1" applyBorder="1" applyAlignment="1">
      <alignment/>
    </xf>
    <xf numFmtId="49" fontId="14" fillId="33" borderId="50" xfId="58" applyNumberFormat="1" applyFont="1" applyFill="1" applyBorder="1" applyAlignment="1">
      <alignment horizontal="center" vertical="center"/>
      <protection/>
    </xf>
    <xf numFmtId="0" fontId="14" fillId="33" borderId="12" xfId="58" applyFont="1" applyFill="1" applyBorder="1" applyAlignment="1">
      <alignment horizontal="right"/>
      <protection/>
    </xf>
    <xf numFmtId="3" fontId="14" fillId="33" borderId="12" xfId="59" applyNumberFormat="1" applyFont="1" applyFill="1" applyBorder="1" applyAlignment="1">
      <alignment horizontal="right" vertical="center" wrapText="1"/>
      <protection/>
    </xf>
    <xf numFmtId="49" fontId="14" fillId="33" borderId="15" xfId="58" applyNumberFormat="1" applyFont="1" applyFill="1" applyBorder="1" applyAlignment="1">
      <alignment horizontal="center" vertical="center"/>
      <protection/>
    </xf>
    <xf numFmtId="0" fontId="0" fillId="0" borderId="10" xfId="59" applyFont="1" applyBorder="1" applyAlignment="1">
      <alignment horizontal="left" vertical="center" wrapText="1"/>
      <protection/>
    </xf>
    <xf numFmtId="0" fontId="13" fillId="36" borderId="22" xfId="58" applyFont="1" applyFill="1" applyBorder="1" applyAlignment="1">
      <alignment horizontal="right"/>
      <protection/>
    </xf>
    <xf numFmtId="0" fontId="13" fillId="0" borderId="47" xfId="58" applyFont="1" applyBorder="1" applyAlignment="1">
      <alignment horizontal="right"/>
      <protection/>
    </xf>
    <xf numFmtId="49" fontId="0" fillId="0" borderId="51" xfId="58" applyNumberFormat="1" applyFont="1" applyBorder="1" applyAlignment="1">
      <alignment horizontal="center" vertical="center"/>
      <protection/>
    </xf>
    <xf numFmtId="49" fontId="0" fillId="0" borderId="11" xfId="58" applyNumberFormat="1" applyFont="1" applyBorder="1" applyAlignment="1">
      <alignment horizontal="center" vertical="center"/>
      <protection/>
    </xf>
    <xf numFmtId="0" fontId="0" fillId="0" borderId="11" xfId="59" applyFont="1" applyBorder="1" applyAlignment="1">
      <alignment vertical="center" wrapText="1"/>
      <protection/>
    </xf>
    <xf numFmtId="0" fontId="0" fillId="0" borderId="11" xfId="59" applyFont="1" applyBorder="1" applyAlignment="1">
      <alignment horizontal="center" vertical="center" wrapText="1"/>
      <protection/>
    </xf>
    <xf numFmtId="173" fontId="0" fillId="0" borderId="11" xfId="59" applyNumberFormat="1" applyFont="1" applyBorder="1" applyAlignment="1">
      <alignment horizontal="center" vertical="center" wrapText="1"/>
      <protection/>
    </xf>
    <xf numFmtId="172" fontId="0" fillId="0" borderId="11" xfId="59" applyNumberFormat="1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horizontal="center" vertical="center" textRotation="90" wrapText="1"/>
      <protection/>
    </xf>
    <xf numFmtId="3" fontId="14" fillId="33" borderId="15" xfId="59" applyNumberFormat="1" applyFont="1" applyFill="1" applyBorder="1" applyAlignment="1">
      <alignment vertical="center"/>
      <protection/>
    </xf>
    <xf numFmtId="0" fontId="8" fillId="0" borderId="0" xfId="58" applyFont="1" applyAlignment="1">
      <alignment/>
      <protection/>
    </xf>
    <xf numFmtId="3" fontId="11" fillId="33" borderId="52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/>
    </xf>
    <xf numFmtId="0" fontId="9" fillId="0" borderId="0" xfId="58" applyFont="1" applyBorder="1" applyAlignment="1">
      <alignment horizontal="right"/>
      <protection/>
    </xf>
    <xf numFmtId="190" fontId="6" fillId="0" borderId="50" xfId="4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 applyProtection="1">
      <alignment vertical="center"/>
      <protection/>
    </xf>
    <xf numFmtId="3" fontId="6" fillId="0" borderId="54" xfId="0" applyNumberFormat="1" applyFont="1" applyFill="1" applyBorder="1" applyAlignment="1" applyProtection="1">
      <alignment vertical="center"/>
      <protection/>
    </xf>
    <xf numFmtId="3" fontId="6" fillId="0" borderId="55" xfId="0" applyNumberFormat="1" applyFont="1" applyFill="1" applyBorder="1" applyAlignment="1" applyProtection="1">
      <alignment vertical="center"/>
      <protection/>
    </xf>
    <xf numFmtId="3" fontId="6" fillId="0" borderId="54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 applyProtection="1">
      <alignment vertical="center"/>
      <protection/>
    </xf>
    <xf numFmtId="3" fontId="6" fillId="0" borderId="56" xfId="0" applyNumberFormat="1" applyFont="1" applyFill="1" applyBorder="1" applyAlignment="1">
      <alignment vertical="center"/>
    </xf>
    <xf numFmtId="0" fontId="9" fillId="33" borderId="57" xfId="0" applyFont="1" applyFill="1" applyBorder="1" applyAlignment="1">
      <alignment horizontal="left" vertical="center" wrapText="1"/>
    </xf>
    <xf numFmtId="0" fontId="9" fillId="33" borderId="44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0" fontId="9" fillId="33" borderId="58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59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10" fillId="33" borderId="49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2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/>
    </xf>
    <xf numFmtId="3" fontId="14" fillId="33" borderId="22" xfId="59" applyNumberFormat="1" applyFont="1" applyFill="1" applyBorder="1" applyAlignment="1">
      <alignment horizontal="center" vertical="center" wrapText="1"/>
      <protection/>
    </xf>
    <xf numFmtId="0" fontId="14" fillId="33" borderId="22" xfId="58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right" vertical="center"/>
    </xf>
    <xf numFmtId="0" fontId="0" fillId="33" borderId="10" xfId="59" applyFont="1" applyFill="1" applyBorder="1" applyAlignment="1">
      <alignment horizontal="center" vertical="center" wrapText="1"/>
      <protection/>
    </xf>
    <xf numFmtId="0" fontId="0" fillId="33" borderId="11" xfId="59" applyFont="1" applyFill="1" applyBorder="1" applyAlignment="1">
      <alignment horizontal="center" vertical="center" wrapText="1"/>
      <protection/>
    </xf>
    <xf numFmtId="0" fontId="0" fillId="33" borderId="10" xfId="59" applyFont="1" applyFill="1" applyBorder="1" applyAlignment="1">
      <alignment horizontal="center" vertical="center"/>
      <protection/>
    </xf>
    <xf numFmtId="0" fontId="14" fillId="33" borderId="13" xfId="59" applyFont="1" applyFill="1" applyBorder="1" applyAlignment="1">
      <alignment horizontal="left" vertical="center" wrapText="1"/>
      <protection/>
    </xf>
    <xf numFmtId="0" fontId="14" fillId="33" borderId="45" xfId="59" applyFont="1" applyFill="1" applyBorder="1" applyAlignment="1">
      <alignment horizontal="left" vertical="center" wrapText="1"/>
      <protection/>
    </xf>
    <xf numFmtId="0" fontId="14" fillId="33" borderId="15" xfId="59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33" borderId="26" xfId="59" applyFont="1" applyFill="1" applyBorder="1" applyAlignment="1">
      <alignment horizontal="left" vertical="center" wrapText="1"/>
      <protection/>
    </xf>
    <xf numFmtId="0" fontId="14" fillId="33" borderId="14" xfId="59" applyFont="1" applyFill="1" applyBorder="1" applyAlignment="1">
      <alignment horizontal="left" vertical="center" wrapText="1"/>
      <protection/>
    </xf>
    <xf numFmtId="0" fontId="14" fillId="33" borderId="50" xfId="59" applyFont="1" applyFill="1" applyBorder="1" applyAlignment="1">
      <alignment horizontal="left" vertical="center" wrapText="1"/>
      <protection/>
    </xf>
    <xf numFmtId="0" fontId="0" fillId="33" borderId="10" xfId="58" applyFont="1" applyFill="1" applyBorder="1" applyAlignment="1">
      <alignment horizontal="center" vertical="center" textRotation="90"/>
      <protection/>
    </xf>
    <xf numFmtId="0" fontId="0" fillId="33" borderId="10" xfId="58" applyFont="1" applyFill="1" applyBorder="1" applyAlignment="1">
      <alignment horizontal="center" vertical="center" textRotation="90"/>
      <protection/>
    </xf>
    <xf numFmtId="0" fontId="0" fillId="33" borderId="11" xfId="58" applyFont="1" applyFill="1" applyBorder="1" applyAlignment="1">
      <alignment horizontal="center" vertical="center" textRotation="90"/>
      <protection/>
    </xf>
    <xf numFmtId="0" fontId="4" fillId="0" borderId="0" xfId="0" applyFont="1" applyBorder="1" applyAlignment="1">
      <alignment horizontal="right" vertical="center"/>
    </xf>
    <xf numFmtId="0" fontId="0" fillId="33" borderId="22" xfId="58" applyFont="1" applyFill="1" applyBorder="1" applyAlignment="1">
      <alignment horizontal="center" vertical="center" textRotation="90"/>
      <protection/>
    </xf>
    <xf numFmtId="0" fontId="0" fillId="33" borderId="22" xfId="58" applyFont="1" applyFill="1" applyBorder="1" applyAlignment="1">
      <alignment horizontal="center" vertical="center" textRotation="90"/>
      <protection/>
    </xf>
    <xf numFmtId="0" fontId="0" fillId="33" borderId="10" xfId="59" applyFont="1" applyFill="1" applyBorder="1" applyAlignment="1">
      <alignment horizontal="center" vertical="center" textRotation="90" wrapText="1"/>
      <protection/>
    </xf>
    <xf numFmtId="0" fontId="0" fillId="33" borderId="11" xfId="59" applyFont="1" applyFill="1" applyBorder="1" applyAlignment="1">
      <alignment horizontal="center" vertical="center" textRotation="90" wrapText="1"/>
      <protection/>
    </xf>
    <xf numFmtId="0" fontId="0" fillId="33" borderId="15" xfId="58" applyFont="1" applyFill="1" applyBorder="1" applyAlignment="1">
      <alignment horizontal="center" vertical="center" textRotation="90"/>
      <protection/>
    </xf>
    <xf numFmtId="0" fontId="0" fillId="33" borderId="15" xfId="58" applyFont="1" applyFill="1" applyBorder="1" applyAlignment="1">
      <alignment horizontal="center" vertical="center" textRotation="90"/>
      <protection/>
    </xf>
    <xf numFmtId="0" fontId="0" fillId="33" borderId="51" xfId="58" applyFont="1" applyFill="1" applyBorder="1" applyAlignment="1">
      <alignment horizontal="center" vertical="center" textRotation="90"/>
      <protection/>
    </xf>
    <xf numFmtId="172" fontId="9" fillId="0" borderId="13" xfId="59" applyNumberFormat="1" applyFont="1" applyBorder="1" applyAlignment="1">
      <alignment horizontal="center" vertical="center" wrapText="1"/>
      <protection/>
    </xf>
    <xf numFmtId="172" fontId="9" fillId="0" borderId="15" xfId="59" applyNumberFormat="1" applyFont="1" applyBorder="1" applyAlignment="1">
      <alignment horizontal="center" vertical="center" wrapText="1"/>
      <protection/>
    </xf>
    <xf numFmtId="3" fontId="10" fillId="33" borderId="10" xfId="59" applyNumberFormat="1" applyFont="1" applyFill="1" applyBorder="1" applyAlignment="1">
      <alignment horizontal="center" vertical="center" wrapText="1"/>
      <protection/>
    </xf>
    <xf numFmtId="0" fontId="10" fillId="33" borderId="24" xfId="60" applyFont="1" applyFill="1" applyBorder="1" applyAlignment="1">
      <alignment horizontal="center" vertical="center" wrapText="1"/>
      <protection/>
    </xf>
    <xf numFmtId="0" fontId="10" fillId="33" borderId="51" xfId="60" applyFont="1" applyFill="1" applyBorder="1" applyAlignment="1">
      <alignment horizontal="center" vertical="center" wrapText="1"/>
      <protection/>
    </xf>
    <xf numFmtId="0" fontId="10" fillId="33" borderId="26" xfId="60" applyFont="1" applyFill="1" applyBorder="1" applyAlignment="1">
      <alignment horizontal="center" vertical="center" wrapText="1"/>
      <protection/>
    </xf>
    <xf numFmtId="0" fontId="10" fillId="33" borderId="50" xfId="60" applyFont="1" applyFill="1" applyBorder="1" applyAlignment="1">
      <alignment horizontal="center" vertical="center" wrapText="1"/>
      <protection/>
    </xf>
    <xf numFmtId="0" fontId="10" fillId="33" borderId="10" xfId="59" applyFont="1" applyFill="1" applyBorder="1" applyAlignment="1">
      <alignment horizontal="center" vertical="center" wrapText="1"/>
      <protection/>
    </xf>
    <xf numFmtId="172" fontId="9" fillId="0" borderId="10" xfId="59" applyNumberFormat="1" applyFont="1" applyBorder="1" applyAlignment="1">
      <alignment horizontal="center" vertical="center" wrapText="1"/>
      <protection/>
    </xf>
    <xf numFmtId="0" fontId="10" fillId="33" borderId="11" xfId="59" applyFont="1" applyFill="1" applyBorder="1" applyAlignment="1">
      <alignment horizontal="center" vertical="center" textRotation="90" wrapText="1"/>
      <protection/>
    </xf>
    <xf numFmtId="0" fontId="10" fillId="33" borderId="12" xfId="59" applyFont="1" applyFill="1" applyBorder="1" applyAlignment="1">
      <alignment horizontal="center" vertical="center" textRotation="90" wrapText="1"/>
      <protection/>
    </xf>
    <xf numFmtId="0" fontId="10" fillId="33" borderId="10" xfId="59" applyFont="1" applyFill="1" applyBorder="1" applyAlignment="1">
      <alignment horizontal="left" vertical="center" wrapText="1"/>
      <protection/>
    </xf>
    <xf numFmtId="0" fontId="18" fillId="0" borderId="0" xfId="60" applyFont="1" applyBorder="1" applyAlignment="1">
      <alignment horizontal="center" vertical="center"/>
      <protection/>
    </xf>
    <xf numFmtId="0" fontId="17" fillId="0" borderId="0" xfId="60" applyFont="1" applyAlignment="1">
      <alignment horizontal="center"/>
      <protection/>
    </xf>
    <xf numFmtId="172" fontId="9" fillId="0" borderId="45" xfId="59" applyNumberFormat="1" applyFont="1" applyBorder="1" applyAlignment="1">
      <alignment horizontal="center" vertical="center" wrapText="1"/>
      <protection/>
    </xf>
    <xf numFmtId="49" fontId="1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textRotation="90" wrapText="1"/>
    </xf>
    <xf numFmtId="0" fontId="9" fillId="33" borderId="2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49" fontId="10" fillId="33" borderId="22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textRotation="90" wrapText="1"/>
    </xf>
    <xf numFmtId="0" fontId="0" fillId="36" borderId="22" xfId="0" applyFill="1" applyBorder="1" applyAlignment="1">
      <alignment horizontal="center" vertical="center" wrapText="1"/>
    </xf>
    <xf numFmtId="176" fontId="10" fillId="33" borderId="13" xfId="40" applyNumberFormat="1" applyFont="1" applyFill="1" applyBorder="1" applyAlignment="1">
      <alignment horizontal="center" vertical="center" wrapText="1"/>
    </xf>
    <xf numFmtId="176" fontId="10" fillId="33" borderId="45" xfId="40" applyNumberFormat="1" applyFont="1" applyFill="1" applyBorder="1" applyAlignment="1">
      <alignment horizontal="center" vertical="center" wrapText="1"/>
    </xf>
    <xf numFmtId="176" fontId="10" fillId="5" borderId="25" xfId="40" applyNumberFormat="1" applyFont="1" applyFill="1" applyBorder="1" applyAlignment="1">
      <alignment horizontal="center" vertical="center" wrapText="1"/>
    </xf>
    <xf numFmtId="176" fontId="10" fillId="5" borderId="60" xfId="40" applyNumberFormat="1" applyFont="1" applyFill="1" applyBorder="1" applyAlignment="1">
      <alignment horizontal="center" vertical="center" wrapText="1"/>
    </xf>
    <xf numFmtId="176" fontId="10" fillId="5" borderId="46" xfId="40" applyNumberFormat="1" applyFont="1" applyFill="1" applyBorder="1" applyAlignment="1">
      <alignment horizontal="center" vertical="center" wrapText="1"/>
    </xf>
    <xf numFmtId="190" fontId="0" fillId="33" borderId="26" xfId="40" applyNumberFormat="1" applyFill="1" applyBorder="1" applyAlignment="1">
      <alignment horizontal="center" vertical="center" wrapText="1"/>
    </xf>
    <xf numFmtId="190" fontId="0" fillId="33" borderId="14" xfId="40" applyNumberFormat="1" applyFill="1" applyBorder="1" applyAlignment="1">
      <alignment horizontal="center" vertical="center" wrapText="1"/>
    </xf>
    <xf numFmtId="190" fontId="0" fillId="33" borderId="13" xfId="40" applyNumberFormat="1" applyFill="1" applyBorder="1" applyAlignment="1">
      <alignment horizontal="center" vertical="center"/>
    </xf>
    <xf numFmtId="190" fontId="0" fillId="33" borderId="45" xfId="40" applyNumberFormat="1" applyFill="1" applyBorder="1" applyAlignment="1">
      <alignment horizontal="center" vertical="center"/>
    </xf>
    <xf numFmtId="190" fontId="0" fillId="33" borderId="15" xfId="40" applyNumberFormat="1" applyFill="1" applyBorder="1" applyAlignment="1">
      <alignment horizontal="center" vertical="center"/>
    </xf>
    <xf numFmtId="176" fontId="0" fillId="33" borderId="11" xfId="40" applyNumberFormat="1" applyFill="1" applyBorder="1" applyAlignment="1">
      <alignment horizontal="center" vertical="center" wrapText="1"/>
    </xf>
    <xf numFmtId="176" fontId="0" fillId="33" borderId="23" xfId="40" applyNumberFormat="1" applyFill="1" applyBorder="1" applyAlignment="1">
      <alignment horizontal="center" vertical="center" wrapText="1"/>
    </xf>
    <xf numFmtId="176" fontId="0" fillId="33" borderId="12" xfId="40" applyNumberFormat="1" applyFill="1" applyBorder="1" applyAlignment="1">
      <alignment horizontal="center" vertical="center" wrapText="1"/>
    </xf>
    <xf numFmtId="176" fontId="0" fillId="33" borderId="11" xfId="40" applyNumberFormat="1" applyFill="1" applyBorder="1" applyAlignment="1">
      <alignment horizontal="center" vertical="center" textRotation="90"/>
    </xf>
    <xf numFmtId="176" fontId="0" fillId="33" borderId="23" xfId="40" applyNumberFormat="1" applyFill="1" applyBorder="1" applyAlignment="1">
      <alignment horizontal="center" vertical="center" textRotation="90"/>
    </xf>
    <xf numFmtId="176" fontId="0" fillId="33" borderId="12" xfId="40" applyNumberFormat="1" applyFill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 textRotation="90"/>
    </xf>
    <xf numFmtId="189" fontId="0" fillId="36" borderId="22" xfId="40" applyNumberFormat="1" applyFill="1" applyBorder="1" applyAlignment="1">
      <alignment horizontal="center" vertical="center" wrapText="1"/>
    </xf>
    <xf numFmtId="0" fontId="7" fillId="0" borderId="0" xfId="40" applyNumberFormat="1" applyFont="1" applyBorder="1" applyAlignment="1">
      <alignment horizontal="right" vertical="center"/>
    </xf>
    <xf numFmtId="49" fontId="4" fillId="0" borderId="0" xfId="40" applyNumberFormat="1" applyFont="1" applyBorder="1" applyAlignment="1">
      <alignment horizontal="center" vertical="center"/>
    </xf>
    <xf numFmtId="176" fontId="6" fillId="0" borderId="0" xfId="40" applyNumberFormat="1" applyFont="1" applyBorder="1" applyAlignment="1">
      <alignment horizontal="center" vertical="center"/>
    </xf>
    <xf numFmtId="3" fontId="0" fillId="33" borderId="11" xfId="40" applyNumberFormat="1" applyFill="1" applyBorder="1" applyAlignment="1">
      <alignment horizontal="center" vertical="center" wrapText="1"/>
    </xf>
    <xf numFmtId="3" fontId="0" fillId="33" borderId="23" xfId="40" applyNumberFormat="1" applyFill="1" applyBorder="1" applyAlignment="1">
      <alignment horizontal="center" vertical="center" wrapText="1"/>
    </xf>
    <xf numFmtId="3" fontId="0" fillId="33" borderId="12" xfId="40" applyNumberFormat="1" applyFill="1" applyBorder="1" applyAlignment="1">
      <alignment horizontal="center" vertical="center" wrapText="1"/>
    </xf>
    <xf numFmtId="176" fontId="6" fillId="0" borderId="0" xfId="40" applyNumberFormat="1" applyFont="1" applyAlignment="1">
      <alignment horizontal="right"/>
    </xf>
    <xf numFmtId="0" fontId="9" fillId="36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9" fillId="33" borderId="47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13" fillId="39" borderId="47" xfId="0" applyFont="1" applyFill="1" applyBorder="1" applyAlignment="1">
      <alignment horizontal="center" vertical="center" wrapText="1"/>
    </xf>
    <xf numFmtId="0" fontId="13" fillId="39" borderId="61" xfId="0" applyFont="1" applyFill="1" applyBorder="1" applyAlignment="1">
      <alignment horizontal="center" vertical="center" wrapText="1"/>
    </xf>
    <xf numFmtId="0" fontId="13" fillId="39" borderId="48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90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45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0" fillId="33" borderId="4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13" fillId="36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 2" xfId="57"/>
    <cellStyle name="Normál_adósság régi tábla" xfId="58"/>
    <cellStyle name="Normál_Csilla1" xfId="59"/>
    <cellStyle name="Normál_Lalának-adósság új szerint 245-290" xfId="60"/>
    <cellStyle name="Normál_Melléklet-5_III_1 számú (1)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kotvall\2020\Vagyon\2020%20kv\Vagyon%20munka%202020.01.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kozos\2020\2020.%20&#233;vi%20k&#246;lts&#233;gvet&#233;s%20tervez&#233;se\Els&#337;%20&#246;sszes&#237;t&#233;s%20(2020.01.10)\Rendelet%205.%20mell&#233;klet%20(k&#246;zpont%202020)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7. Vagyon SZL_01.13"/>
      <sheetName val="5.17. Vagyon"/>
    </sheetNames>
    <sheetDataSet>
      <sheetData sheetId="0"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 melléklet"/>
      <sheetName val="5.1. Adósság"/>
      <sheetName val="5.1 D"/>
      <sheetName val="5.1 Évenként"/>
      <sheetName val="5.2.Városüzem"/>
      <sheetName val="5.3. Zöldterületi kiadások"/>
      <sheetName val="5.4. Beruházás"/>
      <sheetName val="5.5. Lakásalap"/>
      <sheetName val="5.6. Városrendezési tervek"/>
      <sheetName val="5.7. Kertség"/>
      <sheetName val="5.8. Egészségügyi"/>
      <sheetName val="5.9. Népjólét"/>
      <sheetName val="5.10. Sportfeladatok"/>
      <sheetName val="5.11. Szoc"/>
      <sheetName val="5.12. Közművelődés"/>
      <sheetName val="5.13. Támogatások"/>
      <sheetName val="5.14. Egyéb kiadások"/>
      <sheetName val="5.15. Városmarketing"/>
      <sheetName val="5.16. Nemzetközi pályázatok"/>
      <sheetName val="5.17. Vagyon"/>
      <sheetName val="5.18. Nemzetiség"/>
      <sheetName val="5.19. Céltartalé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34"/>
  <sheetViews>
    <sheetView zoomScale="60" zoomScaleNormal="60" zoomScaleSheetLayoutView="70" zoomScalePageLayoutView="0" workbookViewId="0" topLeftCell="A1">
      <pane xSplit="3" ySplit="9" topLeftCell="F8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U1"/>
    </sheetView>
  </sheetViews>
  <sheetFormatPr defaultColWidth="9.140625" defaultRowHeight="12.75"/>
  <cols>
    <col min="1" max="1" width="6.28125" style="0" customWidth="1"/>
    <col min="2" max="2" width="6.57421875" style="0" customWidth="1"/>
    <col min="3" max="3" width="57.140625" style="0" customWidth="1"/>
    <col min="4" max="4" width="26.57421875" style="0" customWidth="1"/>
    <col min="5" max="5" width="21.00390625" style="0" bestFit="1" customWidth="1"/>
    <col min="6" max="6" width="18.7109375" style="0" customWidth="1"/>
    <col min="7" max="7" width="21.7109375" style="0" bestFit="1" customWidth="1"/>
    <col min="8" max="8" width="28.7109375" style="0" customWidth="1"/>
    <col min="9" max="9" width="22.421875" style="0" bestFit="1" customWidth="1"/>
    <col min="10" max="10" width="22.8515625" style="0" customWidth="1"/>
    <col min="11" max="11" width="21.28125" style="0" bestFit="1" customWidth="1"/>
    <col min="12" max="12" width="22.8515625" style="0" bestFit="1" customWidth="1"/>
    <col min="13" max="13" width="26.57421875" style="0" customWidth="1"/>
    <col min="14" max="14" width="21.00390625" style="0" bestFit="1" customWidth="1"/>
    <col min="15" max="15" width="18.7109375" style="0" customWidth="1"/>
    <col min="16" max="16" width="21.7109375" style="0" bestFit="1" customWidth="1"/>
    <col min="17" max="17" width="28.7109375" style="0" customWidth="1"/>
    <col min="18" max="18" width="22.421875" style="0" bestFit="1" customWidth="1"/>
    <col min="19" max="19" width="22.8515625" style="0" customWidth="1"/>
    <col min="20" max="20" width="21.28125" style="0" bestFit="1" customWidth="1"/>
    <col min="21" max="21" width="22.8515625" style="0" bestFit="1" customWidth="1"/>
  </cols>
  <sheetData>
    <row r="1" spans="1:21" s="229" customFormat="1" ht="23.25">
      <c r="A1" s="411" t="s">
        <v>1537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</row>
    <row r="2" spans="1:21" s="229" customFormat="1" ht="23.25">
      <c r="A2" s="410" t="s">
        <v>1509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</row>
    <row r="3" spans="1:21" s="229" customFormat="1" ht="41.25" customHeight="1">
      <c r="A3" s="412" t="s">
        <v>1485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</row>
    <row r="4" spans="1:21" s="229" customFormat="1" ht="18">
      <c r="A4" s="220"/>
      <c r="B4" s="220"/>
      <c r="C4" s="220"/>
      <c r="D4" s="230"/>
      <c r="E4" s="220"/>
      <c r="F4" s="220"/>
      <c r="G4" s="220"/>
      <c r="H4" s="220"/>
      <c r="I4" s="220"/>
      <c r="J4" s="220"/>
      <c r="K4" s="220"/>
      <c r="L4" s="219"/>
      <c r="M4" s="230"/>
      <c r="N4" s="220"/>
      <c r="O4" s="220"/>
      <c r="P4" s="220"/>
      <c r="Q4" s="220"/>
      <c r="R4" s="220"/>
      <c r="S4" s="220"/>
      <c r="T4" s="220"/>
      <c r="U4" s="219"/>
    </row>
    <row r="5" spans="1:21" s="229" customFormat="1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64"/>
      <c r="M5" s="1"/>
      <c r="N5" s="1"/>
      <c r="O5" s="1"/>
      <c r="P5" s="1"/>
      <c r="Q5" s="1"/>
      <c r="R5" s="1"/>
      <c r="S5" s="1"/>
      <c r="T5" s="1"/>
      <c r="U5" s="164" t="s">
        <v>0</v>
      </c>
    </row>
    <row r="6" spans="1:21" s="229" customFormat="1" ht="12.75">
      <c r="A6" s="2" t="s">
        <v>1</v>
      </c>
      <c r="B6" s="2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2" t="s">
        <v>13</v>
      </c>
      <c r="N6" s="3" t="s">
        <v>14</v>
      </c>
      <c r="O6" s="3" t="s">
        <v>15</v>
      </c>
      <c r="P6" s="3" t="s">
        <v>16</v>
      </c>
      <c r="Q6" s="3" t="s">
        <v>17</v>
      </c>
      <c r="R6" s="3" t="s">
        <v>18</v>
      </c>
      <c r="S6" s="3" t="s">
        <v>19</v>
      </c>
      <c r="T6" s="3" t="s">
        <v>20</v>
      </c>
      <c r="U6" s="3" t="s">
        <v>21</v>
      </c>
    </row>
    <row r="7" spans="1:21" s="231" customFormat="1" ht="16.5" customHeight="1">
      <c r="A7" s="413" t="s">
        <v>22</v>
      </c>
      <c r="B7" s="413" t="s">
        <v>23</v>
      </c>
      <c r="C7" s="406" t="s">
        <v>24</v>
      </c>
      <c r="D7" s="409" t="s">
        <v>1262</v>
      </c>
      <c r="E7" s="407" t="s">
        <v>25</v>
      </c>
      <c r="F7" s="407"/>
      <c r="G7" s="407"/>
      <c r="H7" s="407"/>
      <c r="I7" s="407"/>
      <c r="J7" s="407"/>
      <c r="K7" s="407"/>
      <c r="L7" s="407"/>
      <c r="M7" s="409" t="s">
        <v>1467</v>
      </c>
      <c r="N7" s="407" t="s">
        <v>1466</v>
      </c>
      <c r="O7" s="407"/>
      <c r="P7" s="407"/>
      <c r="Q7" s="407"/>
      <c r="R7" s="407"/>
      <c r="S7" s="407"/>
      <c r="T7" s="407"/>
      <c r="U7" s="407"/>
    </row>
    <row r="8" spans="1:21" s="231" customFormat="1" ht="19.5" customHeight="1">
      <c r="A8" s="413"/>
      <c r="B8" s="413"/>
      <c r="C8" s="406"/>
      <c r="D8" s="409"/>
      <c r="E8" s="405" t="s">
        <v>26</v>
      </c>
      <c r="F8" s="405"/>
      <c r="G8" s="405"/>
      <c r="H8" s="405"/>
      <c r="I8" s="405"/>
      <c r="J8" s="405" t="s">
        <v>27</v>
      </c>
      <c r="K8" s="405"/>
      <c r="L8" s="405"/>
      <c r="M8" s="409"/>
      <c r="N8" s="405" t="s">
        <v>26</v>
      </c>
      <c r="O8" s="405"/>
      <c r="P8" s="405"/>
      <c r="Q8" s="405"/>
      <c r="R8" s="405"/>
      <c r="S8" s="405" t="s">
        <v>27</v>
      </c>
      <c r="T8" s="405"/>
      <c r="U8" s="408"/>
    </row>
    <row r="9" spans="1:21" s="231" customFormat="1" ht="92.25" customHeight="1" thickBot="1">
      <c r="A9" s="413"/>
      <c r="B9" s="413"/>
      <c r="C9" s="406"/>
      <c r="D9" s="409"/>
      <c r="E9" s="232" t="s">
        <v>28</v>
      </c>
      <c r="F9" s="232" t="s">
        <v>29</v>
      </c>
      <c r="G9" s="232" t="s">
        <v>30</v>
      </c>
      <c r="H9" s="233" t="s">
        <v>31</v>
      </c>
      <c r="I9" s="232" t="s">
        <v>32</v>
      </c>
      <c r="J9" s="232" t="s">
        <v>33</v>
      </c>
      <c r="K9" s="232" t="s">
        <v>34</v>
      </c>
      <c r="L9" s="234" t="s">
        <v>35</v>
      </c>
      <c r="M9" s="409"/>
      <c r="N9" s="232" t="s">
        <v>28</v>
      </c>
      <c r="O9" s="232" t="s">
        <v>29</v>
      </c>
      <c r="P9" s="232" t="s">
        <v>30</v>
      </c>
      <c r="Q9" s="233" t="s">
        <v>31</v>
      </c>
      <c r="R9" s="232" t="s">
        <v>32</v>
      </c>
      <c r="S9" s="232" t="s">
        <v>33</v>
      </c>
      <c r="T9" s="234" t="s">
        <v>34</v>
      </c>
      <c r="U9" s="97" t="s">
        <v>35</v>
      </c>
    </row>
    <row r="10" spans="1:21" s="231" customFormat="1" ht="18" customHeight="1">
      <c r="A10" s="235" t="s">
        <v>36</v>
      </c>
      <c r="B10" s="393" t="s">
        <v>37</v>
      </c>
      <c r="C10" s="393"/>
      <c r="D10" s="236">
        <f>SUM(E10:L10)</f>
        <v>279308400</v>
      </c>
      <c r="E10" s="237">
        <f aca="true" t="shared" si="0" ref="E10:L10">SUM(E11:E13)</f>
        <v>0</v>
      </c>
      <c r="F10" s="238">
        <f t="shared" si="0"/>
        <v>0</v>
      </c>
      <c r="G10" s="238">
        <f t="shared" si="0"/>
        <v>279308400</v>
      </c>
      <c r="H10" s="238">
        <f t="shared" si="0"/>
        <v>0</v>
      </c>
      <c r="I10" s="238">
        <f t="shared" si="0"/>
        <v>0</v>
      </c>
      <c r="J10" s="238">
        <f t="shared" si="0"/>
        <v>0</v>
      </c>
      <c r="K10" s="238">
        <f t="shared" si="0"/>
        <v>0</v>
      </c>
      <c r="L10" s="238">
        <f t="shared" si="0"/>
        <v>0</v>
      </c>
      <c r="M10" s="236">
        <f aca="true" t="shared" si="1" ref="M10:M15">SUM(N10:U10)</f>
        <v>2679182390</v>
      </c>
      <c r="N10" s="237">
        <f aca="true" t="shared" si="2" ref="N10:U10">SUM(N11:N13)</f>
        <v>0</v>
      </c>
      <c r="O10" s="238">
        <f t="shared" si="2"/>
        <v>0</v>
      </c>
      <c r="P10" s="238">
        <f t="shared" si="2"/>
        <v>2679182390</v>
      </c>
      <c r="Q10" s="238">
        <f t="shared" si="2"/>
        <v>0</v>
      </c>
      <c r="R10" s="238">
        <f t="shared" si="2"/>
        <v>0</v>
      </c>
      <c r="S10" s="238">
        <f t="shared" si="2"/>
        <v>0</v>
      </c>
      <c r="T10" s="238">
        <f t="shared" si="2"/>
        <v>0</v>
      </c>
      <c r="U10" s="380">
        <f t="shared" si="2"/>
        <v>0</v>
      </c>
    </row>
    <row r="11" spans="1:21" s="231" customFormat="1" ht="18.75" thickBot="1">
      <c r="A11" s="394"/>
      <c r="B11" s="6" t="s">
        <v>38</v>
      </c>
      <c r="C11" s="239" t="s">
        <v>39</v>
      </c>
      <c r="D11" s="7">
        <f>SUM(E11:L11)</f>
        <v>279308400</v>
      </c>
      <c r="E11" s="240">
        <v>0</v>
      </c>
      <c r="F11" s="241">
        <v>0</v>
      </c>
      <c r="G11" s="241">
        <f>'5.1. Adósság'!K23</f>
        <v>279308400</v>
      </c>
      <c r="H11" s="241">
        <v>0</v>
      </c>
      <c r="I11" s="241">
        <v>0</v>
      </c>
      <c r="J11" s="241">
        <v>0</v>
      </c>
      <c r="K11" s="241">
        <v>0</v>
      </c>
      <c r="L11" s="242">
        <v>0</v>
      </c>
      <c r="M11" s="7">
        <f t="shared" si="1"/>
        <v>2679182390</v>
      </c>
      <c r="N11" s="385">
        <v>0</v>
      </c>
      <c r="O11" s="385">
        <v>0</v>
      </c>
      <c r="P11" s="386">
        <f>'5.1. Adósság'!O24</f>
        <v>2679182390</v>
      </c>
      <c r="Q11" s="385">
        <v>0</v>
      </c>
      <c r="R11" s="385">
        <v>0</v>
      </c>
      <c r="S11" s="385">
        <v>0</v>
      </c>
      <c r="T11" s="385">
        <v>0</v>
      </c>
      <c r="U11" s="385">
        <v>0</v>
      </c>
    </row>
    <row r="12" spans="1:21" s="231" customFormat="1" ht="18.75" thickBot="1">
      <c r="A12" s="394"/>
      <c r="B12" s="8" t="s">
        <v>40</v>
      </c>
      <c r="C12" s="9" t="s">
        <v>41</v>
      </c>
      <c r="D12" s="7">
        <f aca="true" t="shared" si="3" ref="D12:D75">SUM(E12:L12)</f>
        <v>0</v>
      </c>
      <c r="E12" s="243">
        <v>0</v>
      </c>
      <c r="F12" s="244">
        <v>0</v>
      </c>
      <c r="G12" s="244">
        <v>0</v>
      </c>
      <c r="H12" s="244">
        <v>0</v>
      </c>
      <c r="I12" s="244">
        <v>0</v>
      </c>
      <c r="J12" s="244">
        <v>0</v>
      </c>
      <c r="K12" s="244">
        <v>0</v>
      </c>
      <c r="L12" s="245">
        <v>0</v>
      </c>
      <c r="M12" s="7">
        <f t="shared" si="1"/>
        <v>0</v>
      </c>
      <c r="N12" s="243">
        <v>0</v>
      </c>
      <c r="O12" s="243">
        <v>0</v>
      </c>
      <c r="P12" s="243">
        <v>0</v>
      </c>
      <c r="Q12" s="243">
        <v>0</v>
      </c>
      <c r="R12" s="243">
        <v>0</v>
      </c>
      <c r="S12" s="243">
        <v>0</v>
      </c>
      <c r="T12" s="243">
        <v>0</v>
      </c>
      <c r="U12" s="243">
        <v>0</v>
      </c>
    </row>
    <row r="13" spans="1:21" s="231" customFormat="1" ht="18.75" thickBot="1">
      <c r="A13" s="394"/>
      <c r="B13" s="6" t="s">
        <v>42</v>
      </c>
      <c r="C13" s="246" t="s">
        <v>43</v>
      </c>
      <c r="D13" s="7">
        <f t="shared" si="3"/>
        <v>0</v>
      </c>
      <c r="E13" s="247">
        <v>0</v>
      </c>
      <c r="F13" s="248">
        <v>0</v>
      </c>
      <c r="G13" s="248">
        <v>0</v>
      </c>
      <c r="H13" s="248">
        <v>0</v>
      </c>
      <c r="I13" s="248">
        <v>0</v>
      </c>
      <c r="J13" s="248">
        <v>0</v>
      </c>
      <c r="K13" s="248">
        <v>0</v>
      </c>
      <c r="L13" s="249">
        <v>0</v>
      </c>
      <c r="M13" s="7">
        <f t="shared" si="1"/>
        <v>0</v>
      </c>
      <c r="N13" s="387">
        <v>0</v>
      </c>
      <c r="O13" s="387">
        <v>0</v>
      </c>
      <c r="P13" s="387">
        <v>0</v>
      </c>
      <c r="Q13" s="387">
        <v>0</v>
      </c>
      <c r="R13" s="387">
        <v>0</v>
      </c>
      <c r="S13" s="387">
        <v>0</v>
      </c>
      <c r="T13" s="387">
        <v>0</v>
      </c>
      <c r="U13" s="387">
        <v>0</v>
      </c>
    </row>
    <row r="14" spans="1:21" s="231" customFormat="1" ht="66.75" customHeight="1">
      <c r="A14" s="235" t="s">
        <v>44</v>
      </c>
      <c r="B14" s="393" t="s">
        <v>45</v>
      </c>
      <c r="C14" s="393"/>
      <c r="D14" s="7">
        <f t="shared" si="3"/>
        <v>320858904</v>
      </c>
      <c r="E14" s="237">
        <f aca="true" t="shared" si="4" ref="E14:L14">SUM(E15:E17)</f>
        <v>242405514</v>
      </c>
      <c r="F14" s="238">
        <f t="shared" si="4"/>
        <v>40025073</v>
      </c>
      <c r="G14" s="238">
        <f t="shared" si="4"/>
        <v>27347330</v>
      </c>
      <c r="H14" s="238">
        <f t="shared" si="4"/>
        <v>0</v>
      </c>
      <c r="I14" s="238">
        <f t="shared" si="4"/>
        <v>0</v>
      </c>
      <c r="J14" s="238">
        <f t="shared" si="4"/>
        <v>11080987</v>
      </c>
      <c r="K14" s="238">
        <f t="shared" si="4"/>
        <v>0</v>
      </c>
      <c r="L14" s="238">
        <f t="shared" si="4"/>
        <v>0</v>
      </c>
      <c r="M14" s="7">
        <f t="shared" si="1"/>
        <v>305258904</v>
      </c>
      <c r="N14" s="237">
        <f aca="true" t="shared" si="5" ref="N14:U14">SUM(N15:N17)</f>
        <v>242405514</v>
      </c>
      <c r="O14" s="238">
        <f t="shared" si="5"/>
        <v>40025073</v>
      </c>
      <c r="P14" s="238">
        <f t="shared" si="5"/>
        <v>20347330</v>
      </c>
      <c r="Q14" s="238">
        <f t="shared" si="5"/>
        <v>0</v>
      </c>
      <c r="R14" s="238">
        <f t="shared" si="5"/>
        <v>0</v>
      </c>
      <c r="S14" s="238">
        <f t="shared" si="5"/>
        <v>2480987</v>
      </c>
      <c r="T14" s="238">
        <f t="shared" si="5"/>
        <v>0</v>
      </c>
      <c r="U14" s="238">
        <f t="shared" si="5"/>
        <v>0</v>
      </c>
    </row>
    <row r="15" spans="1:21" s="231" customFormat="1" ht="18.75" thickBot="1">
      <c r="A15" s="394"/>
      <c r="B15" s="6" t="s">
        <v>46</v>
      </c>
      <c r="C15" s="9" t="s">
        <v>39</v>
      </c>
      <c r="D15" s="7">
        <f>SUM(E15:L15)</f>
        <v>282645490</v>
      </c>
      <c r="E15" s="243">
        <f>235548000+6753000+51154</f>
        <v>242352154</v>
      </c>
      <c r="F15" s="244">
        <f>38765000+1182000+6336</f>
        <v>39953336</v>
      </c>
      <c r="G15" s="244">
        <v>340000</v>
      </c>
      <c r="H15" s="244">
        <v>0</v>
      </c>
      <c r="I15" s="244">
        <v>0</v>
      </c>
      <c r="J15" s="244">
        <v>0</v>
      </c>
      <c r="K15" s="244">
        <v>0</v>
      </c>
      <c r="L15" s="242">
        <v>0</v>
      </c>
      <c r="M15" s="7">
        <f t="shared" si="1"/>
        <v>282645490</v>
      </c>
      <c r="N15" s="254">
        <v>242352154</v>
      </c>
      <c r="O15" s="255">
        <v>39953336</v>
      </c>
      <c r="P15" s="255">
        <v>340000</v>
      </c>
      <c r="Q15" s="385">
        <v>0</v>
      </c>
      <c r="R15" s="385">
        <v>0</v>
      </c>
      <c r="S15" s="385">
        <v>0</v>
      </c>
      <c r="T15" s="255">
        <v>0</v>
      </c>
      <c r="U15" s="388">
        <v>0</v>
      </c>
    </row>
    <row r="16" spans="1:21" s="231" customFormat="1" ht="18.75" thickBot="1">
      <c r="A16" s="394"/>
      <c r="B16" s="6" t="s">
        <v>47</v>
      </c>
      <c r="C16" s="9" t="s">
        <v>41</v>
      </c>
      <c r="D16" s="7">
        <f t="shared" si="3"/>
        <v>38213414</v>
      </c>
      <c r="E16" s="243">
        <f>50000+3360</f>
        <v>53360</v>
      </c>
      <c r="F16" s="244">
        <f>30000+41737</f>
        <v>71737</v>
      </c>
      <c r="G16" s="244">
        <f>25036968+1970362</f>
        <v>27007330</v>
      </c>
      <c r="H16" s="244">
        <v>0</v>
      </c>
      <c r="I16" s="244">
        <v>0</v>
      </c>
      <c r="J16" s="244">
        <f>10600000+480987</f>
        <v>11080987</v>
      </c>
      <c r="K16" s="244">
        <v>0</v>
      </c>
      <c r="L16" s="245">
        <v>0</v>
      </c>
      <c r="M16" s="7">
        <f aca="true" t="shared" si="6" ref="M16:M79">SUM(N16:U16)</f>
        <v>22613414</v>
      </c>
      <c r="N16" s="243">
        <v>53360</v>
      </c>
      <c r="O16" s="244">
        <v>71737</v>
      </c>
      <c r="P16" s="244">
        <v>20007330</v>
      </c>
      <c r="Q16" s="243">
        <v>0</v>
      </c>
      <c r="R16" s="243">
        <v>0</v>
      </c>
      <c r="S16" s="244">
        <v>2480987</v>
      </c>
      <c r="T16" s="244">
        <v>0</v>
      </c>
      <c r="U16" s="245">
        <v>0</v>
      </c>
    </row>
    <row r="17" spans="1:21" s="231" customFormat="1" ht="18.75" thickBot="1">
      <c r="A17" s="394"/>
      <c r="B17" s="6" t="s">
        <v>48</v>
      </c>
      <c r="C17" s="250" t="s">
        <v>43</v>
      </c>
      <c r="D17" s="7">
        <f t="shared" si="3"/>
        <v>0</v>
      </c>
      <c r="E17" s="247">
        <v>0</v>
      </c>
      <c r="F17" s="248">
        <v>0</v>
      </c>
      <c r="G17" s="248">
        <v>0</v>
      </c>
      <c r="H17" s="248">
        <v>0</v>
      </c>
      <c r="I17" s="248">
        <v>0</v>
      </c>
      <c r="J17" s="248">
        <v>0</v>
      </c>
      <c r="K17" s="248">
        <v>0</v>
      </c>
      <c r="L17" s="249">
        <v>0</v>
      </c>
      <c r="M17" s="7">
        <f t="shared" si="6"/>
        <v>0</v>
      </c>
      <c r="N17" s="387">
        <v>0</v>
      </c>
      <c r="O17" s="387">
        <v>0</v>
      </c>
      <c r="P17" s="387">
        <v>0</v>
      </c>
      <c r="Q17" s="387">
        <v>0</v>
      </c>
      <c r="R17" s="387">
        <v>0</v>
      </c>
      <c r="S17" s="387">
        <v>0</v>
      </c>
      <c r="T17" s="389">
        <v>0</v>
      </c>
      <c r="U17" s="390">
        <v>0</v>
      </c>
    </row>
    <row r="18" spans="1:21" s="231" customFormat="1" ht="18" customHeight="1">
      <c r="A18" s="235" t="s">
        <v>49</v>
      </c>
      <c r="B18" s="393" t="s">
        <v>50</v>
      </c>
      <c r="C18" s="393"/>
      <c r="D18" s="7">
        <f t="shared" si="3"/>
        <v>3100694589</v>
      </c>
      <c r="E18" s="237">
        <f aca="true" t="shared" si="7" ref="E18:L18">SUM(E19:E21)</f>
        <v>0</v>
      </c>
      <c r="F18" s="238">
        <f t="shared" si="7"/>
        <v>0</v>
      </c>
      <c r="G18" s="238">
        <f t="shared" si="7"/>
        <v>3006307110</v>
      </c>
      <c r="H18" s="238">
        <f t="shared" si="7"/>
        <v>0</v>
      </c>
      <c r="I18" s="238">
        <f t="shared" si="7"/>
        <v>91374969</v>
      </c>
      <c r="J18" s="238">
        <f t="shared" si="7"/>
        <v>3012510</v>
      </c>
      <c r="K18" s="238">
        <f t="shared" si="7"/>
        <v>0</v>
      </c>
      <c r="L18" s="238">
        <f t="shared" si="7"/>
        <v>0</v>
      </c>
      <c r="M18" s="7">
        <f t="shared" si="6"/>
        <v>2863925452</v>
      </c>
      <c r="N18" s="237">
        <f aca="true" t="shared" si="8" ref="N18:U18">SUM(N19:N21)</f>
        <v>0</v>
      </c>
      <c r="O18" s="238">
        <f t="shared" si="8"/>
        <v>0</v>
      </c>
      <c r="P18" s="238">
        <f t="shared" si="8"/>
        <v>2767588593</v>
      </c>
      <c r="Q18" s="238">
        <f t="shared" si="8"/>
        <v>0</v>
      </c>
      <c r="R18" s="238">
        <f t="shared" si="8"/>
        <v>91374969</v>
      </c>
      <c r="S18" s="238">
        <f t="shared" si="8"/>
        <v>4961890</v>
      </c>
      <c r="T18" s="238">
        <f t="shared" si="8"/>
        <v>0</v>
      </c>
      <c r="U18" s="238">
        <f t="shared" si="8"/>
        <v>0</v>
      </c>
    </row>
    <row r="19" spans="1:21" s="231" customFormat="1" ht="18.75" thickBot="1">
      <c r="A19" s="394"/>
      <c r="B19" s="6" t="s">
        <v>51</v>
      </c>
      <c r="C19" s="9" t="s">
        <v>39</v>
      </c>
      <c r="D19" s="7">
        <f t="shared" si="3"/>
        <v>2783167494</v>
      </c>
      <c r="E19" s="240">
        <f>'5.2.Városüzem'!E10</f>
        <v>0</v>
      </c>
      <c r="F19" s="241">
        <f>'5.2.Városüzem'!F10</f>
        <v>0</v>
      </c>
      <c r="G19" s="241">
        <f>'5.2.Városüzem'!G10</f>
        <v>2691792525</v>
      </c>
      <c r="H19" s="241">
        <f>'5.2.Városüzem'!H10</f>
        <v>0</v>
      </c>
      <c r="I19" s="241">
        <f>'5.2.Városüzem'!I10</f>
        <v>91374969</v>
      </c>
      <c r="J19" s="241">
        <f>'5.2.Városüzem'!J10</f>
        <v>0</v>
      </c>
      <c r="K19" s="241">
        <f>'5.2.Városüzem'!K10</f>
        <v>0</v>
      </c>
      <c r="L19" s="241">
        <f>'5.2.Városüzem'!L10</f>
        <v>0</v>
      </c>
      <c r="M19" s="7">
        <f t="shared" si="6"/>
        <v>2589219798</v>
      </c>
      <c r="N19" s="240">
        <f>'5.2.Városüzem'!N10</f>
        <v>0</v>
      </c>
      <c r="O19" s="241">
        <f>'5.2.Városüzem'!O10</f>
        <v>0</v>
      </c>
      <c r="P19" s="241">
        <f>'5.2.Városüzem'!P10</f>
        <v>2495383061</v>
      </c>
      <c r="Q19" s="241">
        <f>'5.2.Városüzem'!Q10</f>
        <v>0</v>
      </c>
      <c r="R19" s="241">
        <f>'5.2.Városüzem'!R10</f>
        <v>91374969</v>
      </c>
      <c r="S19" s="241">
        <f>'5.2.Városüzem'!S10</f>
        <v>2461768</v>
      </c>
      <c r="T19" s="241">
        <f>'5.2.Városüzem'!T10</f>
        <v>0</v>
      </c>
      <c r="U19" s="241">
        <f>'5.2.Városüzem'!U10</f>
        <v>0</v>
      </c>
    </row>
    <row r="20" spans="1:21" s="231" customFormat="1" ht="18.75" thickBot="1">
      <c r="A20" s="394"/>
      <c r="B20" s="6" t="s">
        <v>52</v>
      </c>
      <c r="C20" s="9" t="s">
        <v>41</v>
      </c>
      <c r="D20" s="7">
        <f t="shared" si="3"/>
        <v>317527095</v>
      </c>
      <c r="E20" s="243">
        <f>'5.2.Városüzem'!E33</f>
        <v>0</v>
      </c>
      <c r="F20" s="244">
        <f>'5.2.Városüzem'!F33</f>
        <v>0</v>
      </c>
      <c r="G20" s="244">
        <f>'5.2.Városüzem'!G33</f>
        <v>314514585</v>
      </c>
      <c r="H20" s="244">
        <f>'5.2.Városüzem'!H33</f>
        <v>0</v>
      </c>
      <c r="I20" s="244">
        <f>'5.2.Városüzem'!I33</f>
        <v>0</v>
      </c>
      <c r="J20" s="244">
        <f>'5.2.Városüzem'!J33</f>
        <v>3012510</v>
      </c>
      <c r="K20" s="244">
        <f>'5.2.Városüzem'!K33</f>
        <v>0</v>
      </c>
      <c r="L20" s="244">
        <f>'5.2.Városüzem'!L33</f>
        <v>0</v>
      </c>
      <c r="M20" s="7">
        <f t="shared" si="6"/>
        <v>274705654</v>
      </c>
      <c r="N20" s="243">
        <f>'5.2.Városüzem'!N33</f>
        <v>0</v>
      </c>
      <c r="O20" s="244">
        <f>'5.2.Városüzem'!O33</f>
        <v>0</v>
      </c>
      <c r="P20" s="244">
        <f>'5.2.Városüzem'!P33</f>
        <v>272205532</v>
      </c>
      <c r="Q20" s="244">
        <f>'5.2.Városüzem'!Q33</f>
        <v>0</v>
      </c>
      <c r="R20" s="244">
        <f>'5.2.Városüzem'!R33</f>
        <v>0</v>
      </c>
      <c r="S20" s="244">
        <f>'5.2.Városüzem'!S33</f>
        <v>2500122</v>
      </c>
      <c r="T20" s="244">
        <f>'5.2.Városüzem'!T33</f>
        <v>0</v>
      </c>
      <c r="U20" s="244">
        <f>'5.2.Városüzem'!U33</f>
        <v>0</v>
      </c>
    </row>
    <row r="21" spans="1:21" s="231" customFormat="1" ht="18.75" thickBot="1">
      <c r="A21" s="394"/>
      <c r="B21" s="6" t="s">
        <v>53</v>
      </c>
      <c r="C21" s="250" t="s">
        <v>43</v>
      </c>
      <c r="D21" s="7">
        <f t="shared" si="3"/>
        <v>0</v>
      </c>
      <c r="E21" s="247">
        <f>'5.2.Városüzem'!E50</f>
        <v>0</v>
      </c>
      <c r="F21" s="248">
        <f>'5.2.Városüzem'!F50</f>
        <v>0</v>
      </c>
      <c r="G21" s="248">
        <f>'5.2.Városüzem'!G50</f>
        <v>0</v>
      </c>
      <c r="H21" s="248">
        <f>'5.2.Városüzem'!H50</f>
        <v>0</v>
      </c>
      <c r="I21" s="248">
        <f>'5.2.Városüzem'!I50</f>
        <v>0</v>
      </c>
      <c r="J21" s="248">
        <f>'5.2.Városüzem'!J50</f>
        <v>0</v>
      </c>
      <c r="K21" s="248">
        <f>'5.2.Városüzem'!K50</f>
        <v>0</v>
      </c>
      <c r="L21" s="248">
        <f>'5.2.Városüzem'!L50</f>
        <v>0</v>
      </c>
      <c r="M21" s="7">
        <f t="shared" si="6"/>
        <v>0</v>
      </c>
      <c r="N21" s="247">
        <f>'5.2.Városüzem'!N50</f>
        <v>0</v>
      </c>
      <c r="O21" s="248">
        <f>'5.2.Városüzem'!O50</f>
        <v>0</v>
      </c>
      <c r="P21" s="248">
        <f>'5.2.Városüzem'!P50</f>
        <v>0</v>
      </c>
      <c r="Q21" s="248">
        <f>'5.2.Városüzem'!Q50</f>
        <v>0</v>
      </c>
      <c r="R21" s="248">
        <f>'5.2.Városüzem'!R50</f>
        <v>0</v>
      </c>
      <c r="S21" s="248">
        <f>'5.2.Városüzem'!S50</f>
        <v>0</v>
      </c>
      <c r="T21" s="248">
        <f>'5.2.Városüzem'!T50</f>
        <v>0</v>
      </c>
      <c r="U21" s="248">
        <f>'5.2.Városüzem'!U50</f>
        <v>0</v>
      </c>
    </row>
    <row r="22" spans="1:21" s="231" customFormat="1" ht="18" customHeight="1">
      <c r="A22" s="235" t="s">
        <v>54</v>
      </c>
      <c r="B22" s="393" t="s">
        <v>55</v>
      </c>
      <c r="C22" s="393"/>
      <c r="D22" s="7">
        <f t="shared" si="3"/>
        <v>2173957815</v>
      </c>
      <c r="E22" s="237">
        <f aca="true" t="shared" si="9" ref="E22:L22">SUM(E23:E25)</f>
        <v>15437715</v>
      </c>
      <c r="F22" s="238">
        <f t="shared" si="9"/>
        <v>2979454</v>
      </c>
      <c r="G22" s="238">
        <f t="shared" si="9"/>
        <v>1796857458</v>
      </c>
      <c r="H22" s="238">
        <f t="shared" si="9"/>
        <v>0</v>
      </c>
      <c r="I22" s="238">
        <f t="shared" si="9"/>
        <v>92816689</v>
      </c>
      <c r="J22" s="238">
        <f t="shared" si="9"/>
        <v>265866499</v>
      </c>
      <c r="K22" s="238">
        <f t="shared" si="9"/>
        <v>0</v>
      </c>
      <c r="L22" s="238">
        <f t="shared" si="9"/>
        <v>0</v>
      </c>
      <c r="M22" s="7">
        <f t="shared" si="6"/>
        <v>2066962516</v>
      </c>
      <c r="N22" s="237">
        <f aca="true" t="shared" si="10" ref="N22:U22">SUM(N23:N25)</f>
        <v>25792775</v>
      </c>
      <c r="O22" s="238">
        <f t="shared" si="10"/>
        <v>4759915</v>
      </c>
      <c r="P22" s="238">
        <f t="shared" si="10"/>
        <v>1786313323</v>
      </c>
      <c r="Q22" s="238">
        <f t="shared" si="10"/>
        <v>0</v>
      </c>
      <c r="R22" s="238">
        <f t="shared" si="10"/>
        <v>81300000</v>
      </c>
      <c r="S22" s="238">
        <f t="shared" si="10"/>
        <v>167996503</v>
      </c>
      <c r="T22" s="238">
        <f t="shared" si="10"/>
        <v>0</v>
      </c>
      <c r="U22" s="238">
        <f t="shared" si="10"/>
        <v>800000</v>
      </c>
    </row>
    <row r="23" spans="1:21" s="231" customFormat="1" ht="18.75" thickBot="1">
      <c r="A23" s="394"/>
      <c r="B23" s="6" t="s">
        <v>56</v>
      </c>
      <c r="C23" s="9" t="s">
        <v>39</v>
      </c>
      <c r="D23" s="7">
        <f t="shared" si="3"/>
        <v>1713913347</v>
      </c>
      <c r="E23" s="240">
        <f>'5.3. Zöldterületi kiadások'!E10</f>
        <v>0</v>
      </c>
      <c r="F23" s="241">
        <f>'5.3. Zöldterületi kiadások'!F10</f>
        <v>0</v>
      </c>
      <c r="G23" s="241">
        <f>'5.3. Zöldterületi kiadások'!G10</f>
        <v>1675913347</v>
      </c>
      <c r="H23" s="241">
        <f>'5.3. Zöldterületi kiadások'!H10</f>
        <v>0</v>
      </c>
      <c r="I23" s="241">
        <f>'5.3. Zöldterületi kiadások'!I10</f>
        <v>0</v>
      </c>
      <c r="J23" s="241">
        <f>'5.3. Zöldterületi kiadások'!J10</f>
        <v>38000000</v>
      </c>
      <c r="K23" s="241">
        <f>'5.3. Zöldterületi kiadások'!K10</f>
        <v>0</v>
      </c>
      <c r="L23" s="241">
        <f>'5.3. Zöldterületi kiadások'!L10</f>
        <v>0</v>
      </c>
      <c r="M23" s="7">
        <f t="shared" si="6"/>
        <v>1685788846</v>
      </c>
      <c r="N23" s="240">
        <f>'5.3. Zöldterületi kiadások'!N10</f>
        <v>0</v>
      </c>
      <c r="O23" s="241">
        <f>'5.3. Zöldterületi kiadások'!O10</f>
        <v>0</v>
      </c>
      <c r="P23" s="241">
        <f>'5.3. Zöldterületi kiadások'!P10</f>
        <v>1646572632</v>
      </c>
      <c r="Q23" s="241">
        <f>'5.3. Zöldterületi kiadások'!Q10</f>
        <v>0</v>
      </c>
      <c r="R23" s="241">
        <f>'5.3. Zöldterületi kiadások'!R10</f>
        <v>0</v>
      </c>
      <c r="S23" s="241">
        <f>'5.3. Zöldterületi kiadások'!S10</f>
        <v>39216214</v>
      </c>
      <c r="T23" s="241">
        <f>'5.3. Zöldterületi kiadások'!T10</f>
        <v>0</v>
      </c>
      <c r="U23" s="241">
        <f>'5.3. Zöldterületi kiadások'!U10</f>
        <v>0</v>
      </c>
    </row>
    <row r="24" spans="1:21" s="231" customFormat="1" ht="18.75" thickBot="1">
      <c r="A24" s="394"/>
      <c r="B24" s="6" t="s">
        <v>57</v>
      </c>
      <c r="C24" s="9" t="s">
        <v>41</v>
      </c>
      <c r="D24" s="7">
        <f t="shared" si="3"/>
        <v>460044468</v>
      </c>
      <c r="E24" s="243">
        <f>'5.3. Zöldterületi kiadások'!E25</f>
        <v>15437715</v>
      </c>
      <c r="F24" s="244">
        <f>'5.3. Zöldterületi kiadások'!F25</f>
        <v>2979454</v>
      </c>
      <c r="G24" s="244">
        <f>'5.3. Zöldterületi kiadások'!G25</f>
        <v>120944111</v>
      </c>
      <c r="H24" s="244">
        <f>'5.3. Zöldterületi kiadások'!H25</f>
        <v>0</v>
      </c>
      <c r="I24" s="244">
        <f>'5.3. Zöldterületi kiadások'!I25</f>
        <v>92816689</v>
      </c>
      <c r="J24" s="244">
        <f>'5.3. Zöldterületi kiadások'!J25</f>
        <v>227866499</v>
      </c>
      <c r="K24" s="244">
        <f>'5.3. Zöldterületi kiadások'!K25</f>
        <v>0</v>
      </c>
      <c r="L24" s="244">
        <f>'5.3. Zöldterületi kiadások'!L25</f>
        <v>0</v>
      </c>
      <c r="M24" s="7">
        <f t="shared" si="6"/>
        <v>381173670</v>
      </c>
      <c r="N24" s="243">
        <f>'5.3. Zöldterületi kiadások'!N25</f>
        <v>25792775</v>
      </c>
      <c r="O24" s="244">
        <f>'5.3. Zöldterületi kiadások'!O25</f>
        <v>4759915</v>
      </c>
      <c r="P24" s="244">
        <f>'5.3. Zöldterületi kiadások'!P25</f>
        <v>139740691</v>
      </c>
      <c r="Q24" s="244">
        <f>'5.3. Zöldterületi kiadások'!Q25</f>
        <v>0</v>
      </c>
      <c r="R24" s="244">
        <f>'5.3. Zöldterületi kiadások'!R25</f>
        <v>81300000</v>
      </c>
      <c r="S24" s="244">
        <f>'5.3. Zöldterületi kiadások'!S25</f>
        <v>128780289</v>
      </c>
      <c r="T24" s="244">
        <f>'5.3. Zöldterületi kiadások'!T25</f>
        <v>0</v>
      </c>
      <c r="U24" s="244">
        <f>'5.3. Zöldterületi kiadások'!U25</f>
        <v>800000</v>
      </c>
    </row>
    <row r="25" spans="1:21" s="231" customFormat="1" ht="18.75" thickBot="1">
      <c r="A25" s="394"/>
      <c r="B25" s="6" t="s">
        <v>58</v>
      </c>
      <c r="C25" s="250" t="s">
        <v>43</v>
      </c>
      <c r="D25" s="251">
        <f t="shared" si="3"/>
        <v>0</v>
      </c>
      <c r="E25" s="247">
        <f>'5.3. Zöldterületi kiadások'!E50</f>
        <v>0</v>
      </c>
      <c r="F25" s="248">
        <f>'5.3. Zöldterületi kiadások'!F50</f>
        <v>0</v>
      </c>
      <c r="G25" s="248">
        <f>'5.3. Zöldterületi kiadások'!G50</f>
        <v>0</v>
      </c>
      <c r="H25" s="248">
        <f>'5.3. Zöldterületi kiadások'!H50</f>
        <v>0</v>
      </c>
      <c r="I25" s="248">
        <f>'5.3. Zöldterületi kiadások'!I50</f>
        <v>0</v>
      </c>
      <c r="J25" s="248">
        <f>'5.3. Zöldterületi kiadások'!J50</f>
        <v>0</v>
      </c>
      <c r="K25" s="248">
        <f>'5.3. Zöldterületi kiadások'!K50</f>
        <v>0</v>
      </c>
      <c r="L25" s="248">
        <f>'5.3. Zöldterületi kiadások'!L50</f>
        <v>0</v>
      </c>
      <c r="M25" s="251">
        <f t="shared" si="6"/>
        <v>0</v>
      </c>
      <c r="N25" s="247">
        <f>'5.3. Zöldterületi kiadások'!N50</f>
        <v>0</v>
      </c>
      <c r="O25" s="248">
        <f>'5.3. Zöldterületi kiadások'!O50</f>
        <v>0</v>
      </c>
      <c r="P25" s="248">
        <f>'5.3. Zöldterületi kiadások'!P50</f>
        <v>0</v>
      </c>
      <c r="Q25" s="248">
        <f>'5.3. Zöldterületi kiadások'!Q50</f>
        <v>0</v>
      </c>
      <c r="R25" s="248">
        <f>'5.3. Zöldterületi kiadások'!R50</f>
        <v>0</v>
      </c>
      <c r="S25" s="248">
        <f>'5.3. Zöldterületi kiadások'!S50</f>
        <v>0</v>
      </c>
      <c r="T25" s="248">
        <f>'5.3. Zöldterületi kiadások'!T50</f>
        <v>0</v>
      </c>
      <c r="U25" s="248">
        <f>'5.3. Zöldterületi kiadások'!U50</f>
        <v>0</v>
      </c>
    </row>
    <row r="26" spans="1:21" s="231" customFormat="1" ht="18" customHeight="1">
      <c r="A26" s="235" t="s">
        <v>59</v>
      </c>
      <c r="B26" s="393" t="s">
        <v>60</v>
      </c>
      <c r="C26" s="393"/>
      <c r="D26" s="236">
        <f t="shared" si="3"/>
        <v>78252295064</v>
      </c>
      <c r="E26" s="237">
        <f aca="true" t="shared" si="11" ref="E26:L26">SUM(E27:E29)</f>
        <v>4445000</v>
      </c>
      <c r="F26" s="238">
        <f t="shared" si="11"/>
        <v>777880</v>
      </c>
      <c r="G26" s="238">
        <f t="shared" si="11"/>
        <v>16364576699</v>
      </c>
      <c r="H26" s="238">
        <f t="shared" si="11"/>
        <v>0</v>
      </c>
      <c r="I26" s="238">
        <f t="shared" si="11"/>
        <v>1177506</v>
      </c>
      <c r="J26" s="238">
        <f t="shared" si="11"/>
        <v>57412971124</v>
      </c>
      <c r="K26" s="238">
        <f t="shared" si="11"/>
        <v>4458522981</v>
      </c>
      <c r="L26" s="238">
        <f t="shared" si="11"/>
        <v>9823874</v>
      </c>
      <c r="M26" s="236">
        <f t="shared" si="6"/>
        <v>82088840551</v>
      </c>
      <c r="N26" s="237">
        <f aca="true" t="shared" si="12" ref="N26:U26">SUM(N27:N29)</f>
        <v>8997500</v>
      </c>
      <c r="O26" s="238">
        <f t="shared" si="12"/>
        <v>1492018</v>
      </c>
      <c r="P26" s="238">
        <f t="shared" si="12"/>
        <v>21735138409</v>
      </c>
      <c r="Q26" s="238">
        <f t="shared" si="12"/>
        <v>0</v>
      </c>
      <c r="R26" s="238">
        <f t="shared" si="12"/>
        <v>62741354</v>
      </c>
      <c r="S26" s="238">
        <f t="shared" si="12"/>
        <v>54997491116</v>
      </c>
      <c r="T26" s="238">
        <f t="shared" si="12"/>
        <v>4367070988</v>
      </c>
      <c r="U26" s="238">
        <f t="shared" si="12"/>
        <v>915909166</v>
      </c>
    </row>
    <row r="27" spans="1:21" s="231" customFormat="1" ht="18.75" thickBot="1">
      <c r="A27" s="394"/>
      <c r="B27" s="6" t="s">
        <v>61</v>
      </c>
      <c r="C27" s="9" t="s">
        <v>39</v>
      </c>
      <c r="D27" s="7">
        <f t="shared" si="3"/>
        <v>0</v>
      </c>
      <c r="E27" s="240">
        <f>'5.4. Beruházás'!F10</f>
        <v>0</v>
      </c>
      <c r="F27" s="241">
        <f>'5.4. Beruházás'!G10</f>
        <v>0</v>
      </c>
      <c r="G27" s="241">
        <f>'5.4. Beruházás'!H10</f>
        <v>0</v>
      </c>
      <c r="H27" s="241">
        <f>'5.4. Beruházás'!I10</f>
        <v>0</v>
      </c>
      <c r="I27" s="241">
        <f>'5.4. Beruházás'!J10</f>
        <v>0</v>
      </c>
      <c r="J27" s="241">
        <f>'5.4. Beruházás'!K10</f>
        <v>0</v>
      </c>
      <c r="K27" s="241">
        <f>'5.4. Beruházás'!L10</f>
        <v>0</v>
      </c>
      <c r="L27" s="241">
        <f>'5.4. Beruházás'!M10</f>
        <v>0</v>
      </c>
      <c r="M27" s="7">
        <f t="shared" si="6"/>
        <v>0</v>
      </c>
      <c r="N27" s="240">
        <f>'5.4. Beruházás'!O10</f>
        <v>0</v>
      </c>
      <c r="O27" s="241">
        <f>'5.4. Beruházás'!P10</f>
        <v>0</v>
      </c>
      <c r="P27" s="241">
        <f>'5.4. Beruházás'!Q10</f>
        <v>0</v>
      </c>
      <c r="Q27" s="241">
        <f>'5.4. Beruházás'!R10</f>
        <v>0</v>
      </c>
      <c r="R27" s="241">
        <f>'5.4. Beruházás'!S10</f>
        <v>0</v>
      </c>
      <c r="S27" s="241">
        <f>'5.4. Beruházás'!T10</f>
        <v>0</v>
      </c>
      <c r="T27" s="241">
        <f>'5.4. Beruházás'!U10</f>
        <v>0</v>
      </c>
      <c r="U27" s="241">
        <f>'5.4. Beruházás'!V10</f>
        <v>0</v>
      </c>
    </row>
    <row r="28" spans="1:21" s="231" customFormat="1" ht="18.75" thickBot="1">
      <c r="A28" s="394"/>
      <c r="B28" s="6" t="s">
        <v>62</v>
      </c>
      <c r="C28" s="9" t="s">
        <v>41</v>
      </c>
      <c r="D28" s="7">
        <f t="shared" si="3"/>
        <v>78252295064</v>
      </c>
      <c r="E28" s="240">
        <f>'5.4. Beruházás'!F11</f>
        <v>4445000</v>
      </c>
      <c r="F28" s="241">
        <f>'5.4. Beruházás'!G11</f>
        <v>777880</v>
      </c>
      <c r="G28" s="241">
        <f>'5.4. Beruházás'!H11</f>
        <v>16364576699</v>
      </c>
      <c r="H28" s="241">
        <f>'5.4. Beruházás'!I11</f>
        <v>0</v>
      </c>
      <c r="I28" s="241">
        <f>'5.4. Beruházás'!J11</f>
        <v>1177506</v>
      </c>
      <c r="J28" s="241">
        <f>'5.4. Beruházás'!K11</f>
        <v>57412971124</v>
      </c>
      <c r="K28" s="241">
        <f>'5.4. Beruházás'!L11</f>
        <v>4458522981</v>
      </c>
      <c r="L28" s="241">
        <f>'5.4. Beruházás'!M11</f>
        <v>9823874</v>
      </c>
      <c r="M28" s="7">
        <f t="shared" si="6"/>
        <v>82088840551</v>
      </c>
      <c r="N28" s="240">
        <f>'5.4. Beruházás'!O11</f>
        <v>8997500</v>
      </c>
      <c r="O28" s="241">
        <f>'5.4. Beruházás'!P11</f>
        <v>1492018</v>
      </c>
      <c r="P28" s="241">
        <f>'5.4. Beruházás'!Q11</f>
        <v>21735138409</v>
      </c>
      <c r="Q28" s="241">
        <f>'5.4. Beruházás'!R11</f>
        <v>0</v>
      </c>
      <c r="R28" s="241">
        <f>'5.4. Beruházás'!S11</f>
        <v>62741354</v>
      </c>
      <c r="S28" s="241">
        <f>'5.4. Beruházás'!T11</f>
        <v>54997491116</v>
      </c>
      <c r="T28" s="241">
        <f>'5.4. Beruházás'!U11</f>
        <v>4367070988</v>
      </c>
      <c r="U28" s="241">
        <f>'5.4. Beruházás'!V11</f>
        <v>915909166</v>
      </c>
    </row>
    <row r="29" spans="1:21" s="231" customFormat="1" ht="18.75" thickBot="1">
      <c r="A29" s="394"/>
      <c r="B29" s="6" t="s">
        <v>63</v>
      </c>
      <c r="C29" s="250" t="s">
        <v>43</v>
      </c>
      <c r="D29" s="251">
        <f t="shared" si="3"/>
        <v>0</v>
      </c>
      <c r="E29" s="247">
        <f>'5.4. Beruházás'!F166</f>
        <v>0</v>
      </c>
      <c r="F29" s="248">
        <f>'5.4. Beruházás'!G166</f>
        <v>0</v>
      </c>
      <c r="G29" s="248">
        <v>0</v>
      </c>
      <c r="H29" s="248">
        <f>'5.4. Beruházás'!I166</f>
        <v>0</v>
      </c>
      <c r="I29" s="248">
        <f>'5.4. Beruházás'!J166</f>
        <v>0</v>
      </c>
      <c r="J29" s="248">
        <f>'5.4. Beruházás'!K166</f>
        <v>0</v>
      </c>
      <c r="K29" s="248">
        <f>'5.4. Beruházás'!L166</f>
        <v>0</v>
      </c>
      <c r="L29" s="248">
        <v>0</v>
      </c>
      <c r="M29" s="251">
        <f t="shared" si="6"/>
        <v>0</v>
      </c>
      <c r="N29" s="247">
        <f>'5.4. Beruházás'!O166</f>
        <v>0</v>
      </c>
      <c r="O29" s="248">
        <f>'5.4. Beruházás'!P166</f>
        <v>0</v>
      </c>
      <c r="P29" s="248">
        <v>0</v>
      </c>
      <c r="Q29" s="248">
        <f>'5.4. Beruházás'!R166</f>
        <v>0</v>
      </c>
      <c r="R29" s="248">
        <f>'5.4. Beruházás'!S166</f>
        <v>0</v>
      </c>
      <c r="S29" s="248">
        <f>'5.4. Beruházás'!T166</f>
        <v>0</v>
      </c>
      <c r="T29" s="248">
        <f>'5.4. Beruházás'!U166</f>
        <v>0</v>
      </c>
      <c r="U29" s="248">
        <v>0</v>
      </c>
    </row>
    <row r="30" spans="1:21" s="231" customFormat="1" ht="30.75" customHeight="1">
      <c r="A30" s="235" t="s">
        <v>64</v>
      </c>
      <c r="B30" s="393" t="s">
        <v>65</v>
      </c>
      <c r="C30" s="393"/>
      <c r="D30" s="236">
        <f t="shared" si="3"/>
        <v>436770951</v>
      </c>
      <c r="E30" s="237">
        <f aca="true" t="shared" si="13" ref="E30:L30">SUM(E31:E33)</f>
        <v>0</v>
      </c>
      <c r="F30" s="238">
        <f t="shared" si="13"/>
        <v>0</v>
      </c>
      <c r="G30" s="238">
        <f t="shared" si="13"/>
        <v>110000000</v>
      </c>
      <c r="H30" s="238">
        <f t="shared" si="13"/>
        <v>0</v>
      </c>
      <c r="I30" s="238">
        <f t="shared" si="13"/>
        <v>0</v>
      </c>
      <c r="J30" s="238">
        <f t="shared" si="13"/>
        <v>0</v>
      </c>
      <c r="K30" s="238">
        <f t="shared" si="13"/>
        <v>326770951</v>
      </c>
      <c r="L30" s="238">
        <f t="shared" si="13"/>
        <v>0</v>
      </c>
      <c r="M30" s="236">
        <f t="shared" si="6"/>
        <v>489156349</v>
      </c>
      <c r="N30" s="237">
        <f aca="true" t="shared" si="14" ref="N30:U30">SUM(N31:N33)</f>
        <v>0</v>
      </c>
      <c r="O30" s="238">
        <f t="shared" si="14"/>
        <v>0</v>
      </c>
      <c r="P30" s="238">
        <f t="shared" si="14"/>
        <v>113000000</v>
      </c>
      <c r="Q30" s="238">
        <f t="shared" si="14"/>
        <v>0</v>
      </c>
      <c r="R30" s="238">
        <f t="shared" si="14"/>
        <v>0</v>
      </c>
      <c r="S30" s="238">
        <f t="shared" si="14"/>
        <v>0</v>
      </c>
      <c r="T30" s="238">
        <f t="shared" si="14"/>
        <v>376156349</v>
      </c>
      <c r="U30" s="238">
        <f t="shared" si="14"/>
        <v>0</v>
      </c>
    </row>
    <row r="31" spans="1:21" s="231" customFormat="1" ht="18.75" thickBot="1">
      <c r="A31" s="394"/>
      <c r="B31" s="8" t="s">
        <v>66</v>
      </c>
      <c r="C31" s="9" t="s">
        <v>39</v>
      </c>
      <c r="D31" s="7">
        <f t="shared" si="3"/>
        <v>436770951</v>
      </c>
      <c r="E31" s="240">
        <f>'5.5. Lakásalap'!E10</f>
        <v>0</v>
      </c>
      <c r="F31" s="241">
        <f>'5.5. Lakásalap'!F10</f>
        <v>0</v>
      </c>
      <c r="G31" s="241">
        <f>'5.5. Lakásalap'!G10</f>
        <v>110000000</v>
      </c>
      <c r="H31" s="241">
        <f>'5.5. Lakásalap'!H10</f>
        <v>0</v>
      </c>
      <c r="I31" s="241">
        <f>'5.5. Lakásalap'!I10</f>
        <v>0</v>
      </c>
      <c r="J31" s="241">
        <f>'5.5. Lakásalap'!J10</f>
        <v>0</v>
      </c>
      <c r="K31" s="241">
        <f>'5.5. Lakásalap'!K10</f>
        <v>326770951</v>
      </c>
      <c r="L31" s="241">
        <f>'5.5. Lakásalap'!L10</f>
        <v>0</v>
      </c>
      <c r="M31" s="7">
        <f t="shared" si="6"/>
        <v>489156349</v>
      </c>
      <c r="N31" s="240">
        <f>'5.5. Lakásalap'!N10</f>
        <v>0</v>
      </c>
      <c r="O31" s="241">
        <f>'5.5. Lakásalap'!O10</f>
        <v>0</v>
      </c>
      <c r="P31" s="241">
        <f>'5.5. Lakásalap'!P10</f>
        <v>113000000</v>
      </c>
      <c r="Q31" s="241">
        <f>'5.5. Lakásalap'!Q10</f>
        <v>0</v>
      </c>
      <c r="R31" s="241">
        <f>'5.5. Lakásalap'!R10</f>
        <v>0</v>
      </c>
      <c r="S31" s="241">
        <f>'5.5. Lakásalap'!S10</f>
        <v>0</v>
      </c>
      <c r="T31" s="241">
        <f>'5.5. Lakásalap'!T10</f>
        <v>376156349</v>
      </c>
      <c r="U31" s="241">
        <f>'5.5. Lakásalap'!U10</f>
        <v>0</v>
      </c>
    </row>
    <row r="32" spans="1:21" s="231" customFormat="1" ht="18.75" thickBot="1">
      <c r="A32" s="394"/>
      <c r="B32" s="8" t="s">
        <v>67</v>
      </c>
      <c r="C32" s="9" t="s">
        <v>41</v>
      </c>
      <c r="D32" s="7">
        <f t="shared" si="3"/>
        <v>0</v>
      </c>
      <c r="E32" s="243">
        <f>'5.5. Lakásalap'!E18</f>
        <v>0</v>
      </c>
      <c r="F32" s="244">
        <f>'5.5. Lakásalap'!F18</f>
        <v>0</v>
      </c>
      <c r="G32" s="244">
        <f>'5.5. Lakásalap'!G18</f>
        <v>0</v>
      </c>
      <c r="H32" s="244">
        <f>'5.5. Lakásalap'!H18</f>
        <v>0</v>
      </c>
      <c r="I32" s="244">
        <f>'5.5. Lakásalap'!I18</f>
        <v>0</v>
      </c>
      <c r="J32" s="244">
        <f>'5.5. Lakásalap'!J18</f>
        <v>0</v>
      </c>
      <c r="K32" s="244">
        <f>'5.5. Lakásalap'!K18</f>
        <v>0</v>
      </c>
      <c r="L32" s="244">
        <f>'5.5. Lakásalap'!L18</f>
        <v>0</v>
      </c>
      <c r="M32" s="7">
        <f t="shared" si="6"/>
        <v>0</v>
      </c>
      <c r="N32" s="243">
        <f>'5.5. Lakásalap'!N18</f>
        <v>0</v>
      </c>
      <c r="O32" s="244">
        <f>'5.5. Lakásalap'!O18</f>
        <v>0</v>
      </c>
      <c r="P32" s="244">
        <f>'5.5. Lakásalap'!P18</f>
        <v>0</v>
      </c>
      <c r="Q32" s="244">
        <f>'5.5. Lakásalap'!Q18</f>
        <v>0</v>
      </c>
      <c r="R32" s="244">
        <f>'5.5. Lakásalap'!R18</f>
        <v>0</v>
      </c>
      <c r="S32" s="244">
        <f>'5.5. Lakásalap'!S18</f>
        <v>0</v>
      </c>
      <c r="T32" s="244">
        <f>'5.5. Lakásalap'!T18</f>
        <v>0</v>
      </c>
      <c r="U32" s="244">
        <f>'5.5. Lakásalap'!U18</f>
        <v>0</v>
      </c>
    </row>
    <row r="33" spans="1:21" s="231" customFormat="1" ht="18.75" thickBot="1">
      <c r="A33" s="394"/>
      <c r="B33" s="8" t="s">
        <v>68</v>
      </c>
      <c r="C33" s="9" t="s">
        <v>43</v>
      </c>
      <c r="D33" s="251">
        <f t="shared" si="3"/>
        <v>0</v>
      </c>
      <c r="E33" s="247">
        <f>'5.5. Lakásalap'!E19</f>
        <v>0</v>
      </c>
      <c r="F33" s="248">
        <f>'5.5. Lakásalap'!F19</f>
        <v>0</v>
      </c>
      <c r="G33" s="248">
        <f>'5.5. Lakásalap'!G19</f>
        <v>0</v>
      </c>
      <c r="H33" s="248">
        <f>'5.5. Lakásalap'!H19</f>
        <v>0</v>
      </c>
      <c r="I33" s="248">
        <f>'5.5. Lakásalap'!I19</f>
        <v>0</v>
      </c>
      <c r="J33" s="248">
        <f>'5.5. Lakásalap'!J19</f>
        <v>0</v>
      </c>
      <c r="K33" s="248">
        <f>'5.5. Lakásalap'!K19</f>
        <v>0</v>
      </c>
      <c r="L33" s="248">
        <f>'5.5. Lakásalap'!L19</f>
        <v>0</v>
      </c>
      <c r="M33" s="251">
        <f t="shared" si="6"/>
        <v>0</v>
      </c>
      <c r="N33" s="247">
        <f>'5.5. Lakásalap'!N19</f>
        <v>0</v>
      </c>
      <c r="O33" s="248">
        <f>'5.5. Lakásalap'!O19</f>
        <v>0</v>
      </c>
      <c r="P33" s="248">
        <f>'5.5. Lakásalap'!P19</f>
        <v>0</v>
      </c>
      <c r="Q33" s="248">
        <f>'5.5. Lakásalap'!Q19</f>
        <v>0</v>
      </c>
      <c r="R33" s="248">
        <f>'5.5. Lakásalap'!R19</f>
        <v>0</v>
      </c>
      <c r="S33" s="248">
        <f>'5.5. Lakásalap'!S19</f>
        <v>0</v>
      </c>
      <c r="T33" s="248">
        <f>'5.5. Lakásalap'!T19</f>
        <v>0</v>
      </c>
      <c r="U33" s="248">
        <f>'5.5. Lakásalap'!U19</f>
        <v>0</v>
      </c>
    </row>
    <row r="34" spans="1:21" s="231" customFormat="1" ht="18" customHeight="1">
      <c r="A34" s="235" t="s">
        <v>69</v>
      </c>
      <c r="B34" s="393" t="s">
        <v>70</v>
      </c>
      <c r="C34" s="393"/>
      <c r="D34" s="236">
        <f t="shared" si="3"/>
        <v>110600533</v>
      </c>
      <c r="E34" s="237">
        <f aca="true" t="shared" si="15" ref="E34:L34">SUM(E35:E37)</f>
        <v>19996504</v>
      </c>
      <c r="F34" s="238">
        <f t="shared" si="15"/>
        <v>3561395</v>
      </c>
      <c r="G34" s="238">
        <f t="shared" si="15"/>
        <v>81042634</v>
      </c>
      <c r="H34" s="238">
        <f t="shared" si="15"/>
        <v>0</v>
      </c>
      <c r="I34" s="238">
        <f t="shared" si="15"/>
        <v>0</v>
      </c>
      <c r="J34" s="238">
        <f t="shared" si="15"/>
        <v>0</v>
      </c>
      <c r="K34" s="238">
        <f t="shared" si="15"/>
        <v>6000000</v>
      </c>
      <c r="L34" s="238">
        <f t="shared" si="15"/>
        <v>0</v>
      </c>
      <c r="M34" s="236">
        <f t="shared" si="6"/>
        <v>75850533</v>
      </c>
      <c r="N34" s="237">
        <f aca="true" t="shared" si="16" ref="N34:U34">SUM(N35:N37)</f>
        <v>11485866</v>
      </c>
      <c r="O34" s="238">
        <f t="shared" si="16"/>
        <v>2072033</v>
      </c>
      <c r="P34" s="238">
        <f t="shared" si="16"/>
        <v>62292634</v>
      </c>
      <c r="Q34" s="238">
        <f t="shared" si="16"/>
        <v>0</v>
      </c>
      <c r="R34" s="238">
        <f t="shared" si="16"/>
        <v>0</v>
      </c>
      <c r="S34" s="238">
        <f t="shared" si="16"/>
        <v>0</v>
      </c>
      <c r="T34" s="238">
        <f t="shared" si="16"/>
        <v>0</v>
      </c>
      <c r="U34" s="238">
        <f t="shared" si="16"/>
        <v>0</v>
      </c>
    </row>
    <row r="35" spans="1:21" s="231" customFormat="1" ht="18.75" thickBot="1">
      <c r="A35" s="394"/>
      <c r="B35" s="6" t="s">
        <v>71</v>
      </c>
      <c r="C35" s="9" t="s">
        <v>39</v>
      </c>
      <c r="D35" s="7">
        <f t="shared" si="3"/>
        <v>47597033</v>
      </c>
      <c r="E35" s="240">
        <f>'5.6. Városrendezési tervek'!E10</f>
        <v>11485866</v>
      </c>
      <c r="F35" s="241">
        <f>'5.6. Városrendezési tervek'!F10</f>
        <v>2072033</v>
      </c>
      <c r="G35" s="241">
        <f>'5.6. Városrendezési tervek'!G10</f>
        <v>34039134</v>
      </c>
      <c r="H35" s="241">
        <f>'5.6. Városrendezési tervek'!H10</f>
        <v>0</v>
      </c>
      <c r="I35" s="241">
        <f>'5.6. Városrendezési tervek'!I10</f>
        <v>0</v>
      </c>
      <c r="J35" s="241">
        <f>'5.6. Városrendezési tervek'!J10</f>
        <v>0</v>
      </c>
      <c r="K35" s="241">
        <f>'5.6. Városrendezési tervek'!K10</f>
        <v>0</v>
      </c>
      <c r="L35" s="241">
        <f>'5.6. Városrendezési tervek'!L10</f>
        <v>0</v>
      </c>
      <c r="M35" s="7">
        <f t="shared" si="6"/>
        <v>56487033</v>
      </c>
      <c r="N35" s="240">
        <f>'5.6. Városrendezési tervek'!N10</f>
        <v>11485866</v>
      </c>
      <c r="O35" s="240">
        <f>'5.6. Városrendezési tervek'!O10</f>
        <v>2072033</v>
      </c>
      <c r="P35" s="240">
        <f>'5.6. Városrendezési tervek'!P10</f>
        <v>42929134</v>
      </c>
      <c r="Q35" s="240">
        <f>'5.6. Városrendezési tervek'!Q10</f>
        <v>0</v>
      </c>
      <c r="R35" s="240">
        <f>'5.6. Városrendezési tervek'!R10</f>
        <v>0</v>
      </c>
      <c r="S35" s="240">
        <f>'5.6. Városrendezési tervek'!S10</f>
        <v>0</v>
      </c>
      <c r="T35" s="240">
        <f>'5.6. Városrendezési tervek'!T10</f>
        <v>0</v>
      </c>
      <c r="U35" s="240">
        <f>'5.6. Városrendezési tervek'!U10</f>
        <v>0</v>
      </c>
    </row>
    <row r="36" spans="1:21" s="231" customFormat="1" ht="18.75" thickBot="1">
      <c r="A36" s="394"/>
      <c r="B36" s="6" t="s">
        <v>72</v>
      </c>
      <c r="C36" s="9" t="s">
        <v>41</v>
      </c>
      <c r="D36" s="7">
        <f t="shared" si="3"/>
        <v>63003500</v>
      </c>
      <c r="E36" s="243">
        <f>'5.6. Városrendezési tervek'!E12</f>
        <v>8510638</v>
      </c>
      <c r="F36" s="244">
        <f>'5.6. Városrendezési tervek'!F12</f>
        <v>1489362</v>
      </c>
      <c r="G36" s="244">
        <f>'5.6. Városrendezési tervek'!G12</f>
        <v>47003500</v>
      </c>
      <c r="H36" s="244">
        <f>'5.6. Városrendezési tervek'!H12</f>
        <v>0</v>
      </c>
      <c r="I36" s="244">
        <f>'5.6. Városrendezési tervek'!I12</f>
        <v>0</v>
      </c>
      <c r="J36" s="244">
        <f>'5.6. Városrendezési tervek'!J12</f>
        <v>0</v>
      </c>
      <c r="K36" s="244">
        <f>'5.6. Városrendezési tervek'!K12</f>
        <v>6000000</v>
      </c>
      <c r="L36" s="244">
        <f>'5.6. Városrendezési tervek'!L12</f>
        <v>0</v>
      </c>
      <c r="M36" s="7">
        <f t="shared" si="6"/>
        <v>19363500</v>
      </c>
      <c r="N36" s="243">
        <f>'5.6. Városrendezési tervek'!N12</f>
        <v>0</v>
      </c>
      <c r="O36" s="243">
        <f>'5.6. Városrendezési tervek'!O12</f>
        <v>0</v>
      </c>
      <c r="P36" s="243">
        <f>'5.6. Városrendezési tervek'!P12</f>
        <v>19363500</v>
      </c>
      <c r="Q36" s="243">
        <f>'5.6. Városrendezési tervek'!Q12</f>
        <v>0</v>
      </c>
      <c r="R36" s="243">
        <f>'5.6. Városrendezési tervek'!R12</f>
        <v>0</v>
      </c>
      <c r="S36" s="243">
        <f>'5.6. Városrendezési tervek'!S12</f>
        <v>0</v>
      </c>
      <c r="T36" s="243">
        <f>'5.6. Városrendezési tervek'!T12</f>
        <v>0</v>
      </c>
      <c r="U36" s="243">
        <f>'5.6. Városrendezési tervek'!U12</f>
        <v>0</v>
      </c>
    </row>
    <row r="37" spans="1:21" s="231" customFormat="1" ht="18.75" thickBot="1">
      <c r="A37" s="394"/>
      <c r="B37" s="6" t="s">
        <v>73</v>
      </c>
      <c r="C37" s="250" t="s">
        <v>43</v>
      </c>
      <c r="D37" s="251">
        <f t="shared" si="3"/>
        <v>0</v>
      </c>
      <c r="E37" s="247">
        <f>'5.6. Városrendezési tervek'!D20</f>
        <v>0</v>
      </c>
      <c r="F37" s="248">
        <f>'5.6. Városrendezési tervek'!E20</f>
        <v>0</v>
      </c>
      <c r="G37" s="248">
        <f>'5.6. Városrendezési tervek'!F20</f>
        <v>0</v>
      </c>
      <c r="H37" s="248">
        <f>'5.6. Városrendezési tervek'!G20</f>
        <v>0</v>
      </c>
      <c r="I37" s="248">
        <f>'5.6. Városrendezési tervek'!I20</f>
        <v>0</v>
      </c>
      <c r="J37" s="248">
        <f>'5.6. Városrendezési tervek'!J20</f>
        <v>0</v>
      </c>
      <c r="K37" s="248">
        <f>'5.6. Városrendezési tervek'!K20</f>
        <v>0</v>
      </c>
      <c r="L37" s="248">
        <f>'5.6. Városrendezési tervek'!L20</f>
        <v>0</v>
      </c>
      <c r="M37" s="251">
        <f t="shared" si="6"/>
        <v>0</v>
      </c>
      <c r="N37" s="247">
        <f>'5.6. Városrendezési tervek'!N20</f>
        <v>0</v>
      </c>
      <c r="O37" s="247">
        <f>'5.6. Városrendezési tervek'!O20</f>
        <v>0</v>
      </c>
      <c r="P37" s="247">
        <f>'5.6. Városrendezési tervek'!P20</f>
        <v>0</v>
      </c>
      <c r="Q37" s="247">
        <f>'5.6. Városrendezési tervek'!Q20</f>
        <v>0</v>
      </c>
      <c r="R37" s="247">
        <f>'5.6. Városrendezési tervek'!R20</f>
        <v>0</v>
      </c>
      <c r="S37" s="247">
        <f>'5.6. Városrendezési tervek'!S20</f>
        <v>0</v>
      </c>
      <c r="T37" s="247">
        <f>'5.6. Városrendezési tervek'!T20</f>
        <v>0</v>
      </c>
      <c r="U37" s="247">
        <f>'5.6. Városrendezési tervek'!U20</f>
        <v>0</v>
      </c>
    </row>
    <row r="38" spans="1:21" s="231" customFormat="1" ht="18" customHeight="1">
      <c r="A38" s="235" t="s">
        <v>74</v>
      </c>
      <c r="B38" s="393" t="s">
        <v>75</v>
      </c>
      <c r="C38" s="393"/>
      <c r="D38" s="236">
        <f t="shared" si="3"/>
        <v>5356379690</v>
      </c>
      <c r="E38" s="237">
        <f aca="true" t="shared" si="17" ref="E38:L38">SUM(E39:E41)</f>
        <v>0</v>
      </c>
      <c r="F38" s="238">
        <f t="shared" si="17"/>
        <v>0</v>
      </c>
      <c r="G38" s="238">
        <f t="shared" si="17"/>
        <v>492525695</v>
      </c>
      <c r="H38" s="238">
        <f t="shared" si="17"/>
        <v>0</v>
      </c>
      <c r="I38" s="238">
        <f t="shared" si="17"/>
        <v>4003587</v>
      </c>
      <c r="J38" s="238">
        <f t="shared" si="17"/>
        <v>4848850408</v>
      </c>
      <c r="K38" s="238">
        <f t="shared" si="17"/>
        <v>5000000</v>
      </c>
      <c r="L38" s="238">
        <f t="shared" si="17"/>
        <v>6000000</v>
      </c>
      <c r="M38" s="236">
        <f t="shared" si="6"/>
        <v>4962281381</v>
      </c>
      <c r="N38" s="237">
        <f aca="true" t="shared" si="18" ref="N38:U38">SUM(N39:N41)</f>
        <v>0</v>
      </c>
      <c r="O38" s="238">
        <f t="shared" si="18"/>
        <v>0</v>
      </c>
      <c r="P38" s="238">
        <f t="shared" si="18"/>
        <v>552083404</v>
      </c>
      <c r="Q38" s="238">
        <f t="shared" si="18"/>
        <v>0</v>
      </c>
      <c r="R38" s="238">
        <f t="shared" si="18"/>
        <v>4000000</v>
      </c>
      <c r="S38" s="238">
        <f t="shared" si="18"/>
        <v>4377292813</v>
      </c>
      <c r="T38" s="238">
        <f t="shared" si="18"/>
        <v>0</v>
      </c>
      <c r="U38" s="238">
        <f t="shared" si="18"/>
        <v>28905164</v>
      </c>
    </row>
    <row r="39" spans="1:21" s="231" customFormat="1" ht="18.75" thickBot="1">
      <c r="A39" s="394"/>
      <c r="B39" s="6" t="s">
        <v>76</v>
      </c>
      <c r="C39" s="9" t="s">
        <v>39</v>
      </c>
      <c r="D39" s="7">
        <f t="shared" si="3"/>
        <v>0</v>
      </c>
      <c r="E39" s="240">
        <f>'5.7. Kertség'!F10</f>
        <v>0</v>
      </c>
      <c r="F39" s="241">
        <f>'5.7. Kertség'!G10</f>
        <v>0</v>
      </c>
      <c r="G39" s="241">
        <f>'5.7. Kertség'!H10</f>
        <v>0</v>
      </c>
      <c r="H39" s="241">
        <f>'5.7. Kertség'!I10</f>
        <v>0</v>
      </c>
      <c r="I39" s="241">
        <f>'5.7. Kertség'!J10</f>
        <v>0</v>
      </c>
      <c r="J39" s="241">
        <f>'5.7. Kertség'!K10</f>
        <v>0</v>
      </c>
      <c r="K39" s="241">
        <f>'5.7. Kertség'!L10</f>
        <v>0</v>
      </c>
      <c r="L39" s="241">
        <f>'5.7. Kertség'!M10</f>
        <v>0</v>
      </c>
      <c r="M39" s="7">
        <f t="shared" si="6"/>
        <v>0</v>
      </c>
      <c r="N39" s="240">
        <f>'5.7. Kertség'!O10</f>
        <v>0</v>
      </c>
      <c r="O39" s="241">
        <f>'5.7. Kertség'!P10</f>
        <v>0</v>
      </c>
      <c r="P39" s="241">
        <f>'5.7. Kertség'!Q10</f>
        <v>0</v>
      </c>
      <c r="Q39" s="241">
        <f>'5.7. Kertség'!R10</f>
        <v>0</v>
      </c>
      <c r="R39" s="241">
        <f>'5.7. Kertség'!S10</f>
        <v>0</v>
      </c>
      <c r="S39" s="241">
        <f>'5.7. Kertség'!T10</f>
        <v>0</v>
      </c>
      <c r="T39" s="241">
        <f>'5.7. Kertség'!U10</f>
        <v>0</v>
      </c>
      <c r="U39" s="241">
        <f>'5.7. Kertség'!V10</f>
        <v>0</v>
      </c>
    </row>
    <row r="40" spans="1:21" s="11" customFormat="1" ht="18.75" thickBot="1">
      <c r="A40" s="394"/>
      <c r="B40" s="6" t="s">
        <v>77</v>
      </c>
      <c r="C40" s="9" t="s">
        <v>41</v>
      </c>
      <c r="D40" s="7">
        <f t="shared" si="3"/>
        <v>5356379690</v>
      </c>
      <c r="E40" s="243">
        <f>'5.7. Kertség'!F11</f>
        <v>0</v>
      </c>
      <c r="F40" s="244">
        <f>'5.7. Kertség'!G11</f>
        <v>0</v>
      </c>
      <c r="G40" s="244">
        <f>'5.7. Kertség'!H11</f>
        <v>492525695</v>
      </c>
      <c r="H40" s="244">
        <f>'5.7. Kertség'!I11</f>
        <v>0</v>
      </c>
      <c r="I40" s="244">
        <f>'5.7. Kertség'!J11</f>
        <v>4003587</v>
      </c>
      <c r="J40" s="244">
        <f>'5.7. Kertség'!K11</f>
        <v>4848850408</v>
      </c>
      <c r="K40" s="244">
        <f>'5.7. Kertség'!L11</f>
        <v>5000000</v>
      </c>
      <c r="L40" s="244">
        <f>'5.7. Kertség'!M11</f>
        <v>6000000</v>
      </c>
      <c r="M40" s="7">
        <f t="shared" si="6"/>
        <v>4962281381</v>
      </c>
      <c r="N40" s="243">
        <f>'5.7. Kertség'!O11</f>
        <v>0</v>
      </c>
      <c r="O40" s="244">
        <f>'5.7. Kertség'!P11</f>
        <v>0</v>
      </c>
      <c r="P40" s="244">
        <f>'5.7. Kertség'!Q11</f>
        <v>552083404</v>
      </c>
      <c r="Q40" s="244">
        <f>'5.7. Kertség'!R11</f>
        <v>0</v>
      </c>
      <c r="R40" s="244">
        <f>'5.7. Kertség'!S11</f>
        <v>4000000</v>
      </c>
      <c r="S40" s="244">
        <f>'5.7. Kertség'!T11</f>
        <v>4377292813</v>
      </c>
      <c r="T40" s="244">
        <f>'5.7. Kertség'!U11</f>
        <v>0</v>
      </c>
      <c r="U40" s="244">
        <f>'5.7. Kertség'!V11</f>
        <v>28905164</v>
      </c>
    </row>
    <row r="41" spans="1:21" s="11" customFormat="1" ht="18.75" thickBot="1">
      <c r="A41" s="394"/>
      <c r="B41" s="6" t="s">
        <v>78</v>
      </c>
      <c r="C41" s="250" t="s">
        <v>43</v>
      </c>
      <c r="D41" s="251">
        <f t="shared" si="3"/>
        <v>0</v>
      </c>
      <c r="E41" s="247">
        <f>'5.7. Kertség'!F40</f>
        <v>0</v>
      </c>
      <c r="F41" s="248">
        <f>'5.7. Kertség'!G40</f>
        <v>0</v>
      </c>
      <c r="G41" s="248">
        <f>'5.7. Kertség'!H40</f>
        <v>0</v>
      </c>
      <c r="H41" s="248">
        <f>'5.7. Kertség'!I40</f>
        <v>0</v>
      </c>
      <c r="I41" s="248">
        <f>'5.7. Kertség'!J40</f>
        <v>0</v>
      </c>
      <c r="J41" s="248">
        <f>'5.7. Kertség'!K40</f>
        <v>0</v>
      </c>
      <c r="K41" s="248">
        <f>'5.7. Kertség'!L40</f>
        <v>0</v>
      </c>
      <c r="L41" s="248">
        <f>'5.7. Kertség'!M40</f>
        <v>0</v>
      </c>
      <c r="M41" s="251">
        <f t="shared" si="6"/>
        <v>0</v>
      </c>
      <c r="N41" s="247">
        <f>'5.7. Kertség'!O40</f>
        <v>0</v>
      </c>
      <c r="O41" s="248">
        <f>'5.7. Kertség'!P40</f>
        <v>0</v>
      </c>
      <c r="P41" s="248">
        <f>'5.7. Kertség'!Q40</f>
        <v>0</v>
      </c>
      <c r="Q41" s="248">
        <f>'5.7. Kertség'!R40</f>
        <v>0</v>
      </c>
      <c r="R41" s="248">
        <f>'5.7. Kertség'!S40</f>
        <v>0</v>
      </c>
      <c r="S41" s="248">
        <f>'5.7. Kertség'!T40</f>
        <v>0</v>
      </c>
      <c r="T41" s="248">
        <f>'5.7. Kertség'!U40</f>
        <v>0</v>
      </c>
      <c r="U41" s="248">
        <f>'5.7. Kertség'!V40</f>
        <v>0</v>
      </c>
    </row>
    <row r="42" spans="1:21" s="11" customFormat="1" ht="18" customHeight="1">
      <c r="A42" s="235" t="s">
        <v>79</v>
      </c>
      <c r="B42" s="393" t="s">
        <v>80</v>
      </c>
      <c r="C42" s="393"/>
      <c r="D42" s="236">
        <f t="shared" si="3"/>
        <v>10380000</v>
      </c>
      <c r="E42" s="237">
        <f aca="true" t="shared" si="19" ref="E42:L42">SUM(E43:E45)</f>
        <v>0</v>
      </c>
      <c r="F42" s="238">
        <f t="shared" si="19"/>
        <v>0</v>
      </c>
      <c r="G42" s="238">
        <f t="shared" si="19"/>
        <v>0</v>
      </c>
      <c r="H42" s="238">
        <f t="shared" si="19"/>
        <v>380000</v>
      </c>
      <c r="I42" s="238">
        <f t="shared" si="19"/>
        <v>10000000</v>
      </c>
      <c r="J42" s="238">
        <f t="shared" si="19"/>
        <v>0</v>
      </c>
      <c r="K42" s="238">
        <f t="shared" si="19"/>
        <v>0</v>
      </c>
      <c r="L42" s="238">
        <f t="shared" si="19"/>
        <v>0</v>
      </c>
      <c r="M42" s="236">
        <f t="shared" si="6"/>
        <v>22416458</v>
      </c>
      <c r="N42" s="237">
        <f aca="true" t="shared" si="20" ref="N42:U42">SUM(N43:N45)</f>
        <v>8858000</v>
      </c>
      <c r="O42" s="238">
        <f t="shared" si="20"/>
        <v>3178458</v>
      </c>
      <c r="P42" s="238">
        <f t="shared" si="20"/>
        <v>0</v>
      </c>
      <c r="Q42" s="238">
        <f t="shared" si="20"/>
        <v>380000</v>
      </c>
      <c r="R42" s="238">
        <f t="shared" si="20"/>
        <v>10000000</v>
      </c>
      <c r="S42" s="238">
        <f t="shared" si="20"/>
        <v>0</v>
      </c>
      <c r="T42" s="238">
        <f t="shared" si="20"/>
        <v>0</v>
      </c>
      <c r="U42" s="238">
        <f t="shared" si="20"/>
        <v>0</v>
      </c>
    </row>
    <row r="43" spans="1:21" s="11" customFormat="1" ht="18.75" thickBot="1">
      <c r="A43" s="394"/>
      <c r="B43" s="6" t="s">
        <v>81</v>
      </c>
      <c r="C43" s="9" t="s">
        <v>39</v>
      </c>
      <c r="D43" s="7">
        <f t="shared" si="3"/>
        <v>380000</v>
      </c>
      <c r="E43" s="240">
        <v>0</v>
      </c>
      <c r="F43" s="241">
        <v>0</v>
      </c>
      <c r="G43" s="241">
        <v>0</v>
      </c>
      <c r="H43" s="241">
        <v>380000</v>
      </c>
      <c r="I43" s="241">
        <v>0</v>
      </c>
      <c r="J43" s="241">
        <v>0</v>
      </c>
      <c r="K43" s="241">
        <v>0</v>
      </c>
      <c r="L43" s="241">
        <v>0</v>
      </c>
      <c r="M43" s="7">
        <f t="shared" si="6"/>
        <v>380000</v>
      </c>
      <c r="N43" s="240">
        <v>0</v>
      </c>
      <c r="O43" s="241">
        <v>0</v>
      </c>
      <c r="P43" s="241">
        <v>0</v>
      </c>
      <c r="Q43" s="241">
        <v>380000</v>
      </c>
      <c r="R43" s="241">
        <v>0</v>
      </c>
      <c r="S43" s="241">
        <v>0</v>
      </c>
      <c r="T43" s="241">
        <v>0</v>
      </c>
      <c r="U43" s="241">
        <v>0</v>
      </c>
    </row>
    <row r="44" spans="1:21" s="11" customFormat="1" ht="18.75" thickBot="1">
      <c r="A44" s="394"/>
      <c r="B44" s="6" t="s">
        <v>82</v>
      </c>
      <c r="C44" s="9" t="s">
        <v>41</v>
      </c>
      <c r="D44" s="7">
        <f t="shared" si="3"/>
        <v>10000000</v>
      </c>
      <c r="E44" s="243">
        <v>0</v>
      </c>
      <c r="F44" s="244">
        <v>0</v>
      </c>
      <c r="G44" s="244">
        <v>0</v>
      </c>
      <c r="H44" s="244">
        <v>0</v>
      </c>
      <c r="I44" s="244">
        <v>10000000</v>
      </c>
      <c r="J44" s="244">
        <v>0</v>
      </c>
      <c r="K44" s="244">
        <v>0</v>
      </c>
      <c r="L44" s="244">
        <v>0</v>
      </c>
      <c r="M44" s="7">
        <f t="shared" si="6"/>
        <v>22036458</v>
      </c>
      <c r="N44" s="243">
        <v>8858000</v>
      </c>
      <c r="O44" s="244">
        <v>3178458</v>
      </c>
      <c r="P44" s="244">
        <v>0</v>
      </c>
      <c r="Q44" s="244">
        <v>0</v>
      </c>
      <c r="R44" s="244">
        <v>10000000</v>
      </c>
      <c r="S44" s="244">
        <v>0</v>
      </c>
      <c r="T44" s="244">
        <v>0</v>
      </c>
      <c r="U44" s="244"/>
    </row>
    <row r="45" spans="1:21" s="11" customFormat="1" ht="18.75" thickBot="1">
      <c r="A45" s="394"/>
      <c r="B45" s="6" t="s">
        <v>83</v>
      </c>
      <c r="C45" s="250" t="s">
        <v>43</v>
      </c>
      <c r="D45" s="251">
        <f t="shared" si="3"/>
        <v>0</v>
      </c>
      <c r="E45" s="247">
        <v>0</v>
      </c>
      <c r="F45" s="248">
        <v>0</v>
      </c>
      <c r="G45" s="248">
        <v>0</v>
      </c>
      <c r="H45" s="248">
        <v>0</v>
      </c>
      <c r="I45" s="248">
        <v>0</v>
      </c>
      <c r="J45" s="248">
        <v>0</v>
      </c>
      <c r="K45" s="248">
        <v>0</v>
      </c>
      <c r="L45" s="248">
        <v>0</v>
      </c>
      <c r="M45" s="251">
        <f t="shared" si="6"/>
        <v>0</v>
      </c>
      <c r="N45" s="247">
        <v>0</v>
      </c>
      <c r="O45" s="248">
        <v>0</v>
      </c>
      <c r="P45" s="248">
        <v>0</v>
      </c>
      <c r="Q45" s="248">
        <v>0</v>
      </c>
      <c r="R45" s="248">
        <v>0</v>
      </c>
      <c r="S45" s="248">
        <v>0</v>
      </c>
      <c r="T45" s="248">
        <v>0</v>
      </c>
      <c r="U45" s="248">
        <v>0</v>
      </c>
    </row>
    <row r="46" spans="1:21" s="11" customFormat="1" ht="18" customHeight="1">
      <c r="A46" s="235" t="s">
        <v>84</v>
      </c>
      <c r="B46" s="393" t="s">
        <v>85</v>
      </c>
      <c r="C46" s="393"/>
      <c r="D46" s="236">
        <f t="shared" si="3"/>
        <v>92532036</v>
      </c>
      <c r="E46" s="237">
        <f aca="true" t="shared" si="21" ref="E46:L46">SUM(E47:E49)</f>
        <v>0</v>
      </c>
      <c r="F46" s="238">
        <f t="shared" si="21"/>
        <v>0</v>
      </c>
      <c r="G46" s="238">
        <f t="shared" si="21"/>
        <v>17900000</v>
      </c>
      <c r="H46" s="238">
        <f t="shared" si="21"/>
        <v>732036</v>
      </c>
      <c r="I46" s="238">
        <f t="shared" si="21"/>
        <v>13900000</v>
      </c>
      <c r="J46" s="238">
        <f t="shared" si="21"/>
        <v>0</v>
      </c>
      <c r="K46" s="238">
        <f t="shared" si="21"/>
        <v>0</v>
      </c>
      <c r="L46" s="238">
        <f t="shared" si="21"/>
        <v>60000000</v>
      </c>
      <c r="M46" s="236">
        <f t="shared" si="6"/>
        <v>91791036</v>
      </c>
      <c r="N46" s="237">
        <f aca="true" t="shared" si="22" ref="N46:U46">SUM(N47:N49)</f>
        <v>0</v>
      </c>
      <c r="O46" s="238">
        <f t="shared" si="22"/>
        <v>0</v>
      </c>
      <c r="P46" s="238">
        <f t="shared" si="22"/>
        <v>20059000</v>
      </c>
      <c r="Q46" s="238">
        <f t="shared" si="22"/>
        <v>732036</v>
      </c>
      <c r="R46" s="238">
        <f t="shared" si="22"/>
        <v>11000000</v>
      </c>
      <c r="S46" s="238">
        <f t="shared" si="22"/>
        <v>0</v>
      </c>
      <c r="T46" s="238">
        <f t="shared" si="22"/>
        <v>0</v>
      </c>
      <c r="U46" s="238">
        <f t="shared" si="22"/>
        <v>60000000</v>
      </c>
    </row>
    <row r="47" spans="1:21" s="11" customFormat="1" ht="18.75" thickBot="1">
      <c r="A47" s="394"/>
      <c r="B47" s="6" t="s">
        <v>86</v>
      </c>
      <c r="C47" s="9" t="s">
        <v>39</v>
      </c>
      <c r="D47" s="7">
        <f t="shared" si="3"/>
        <v>91532036</v>
      </c>
      <c r="E47" s="240">
        <f>'5.8. Egészségügyi'!E10</f>
        <v>0</v>
      </c>
      <c r="F47" s="241">
        <f>'5.8. Egészségügyi'!F10</f>
        <v>0</v>
      </c>
      <c r="G47" s="241">
        <f>'5.8. Egészségügyi'!G10</f>
        <v>17900000</v>
      </c>
      <c r="H47" s="241">
        <f>'5.8. Egészségügyi'!H10</f>
        <v>732036</v>
      </c>
      <c r="I47" s="241">
        <f>'5.8. Egészségügyi'!I10</f>
        <v>12900000</v>
      </c>
      <c r="J47" s="241">
        <f>'5.8. Egészségügyi'!J10</f>
        <v>0</v>
      </c>
      <c r="K47" s="241">
        <f>'5.8. Egészségügyi'!K10</f>
        <v>0</v>
      </c>
      <c r="L47" s="241">
        <f>'5.8. Egészségügyi'!L10</f>
        <v>60000000</v>
      </c>
      <c r="M47" s="7">
        <f t="shared" si="6"/>
        <v>90791036</v>
      </c>
      <c r="N47" s="240">
        <f>'5.8. Egészségügyi'!N10</f>
        <v>0</v>
      </c>
      <c r="O47" s="241">
        <f>'5.8. Egészségügyi'!O10</f>
        <v>0</v>
      </c>
      <c r="P47" s="241">
        <f>'5.8. Egészségügyi'!P10</f>
        <v>20059000</v>
      </c>
      <c r="Q47" s="241">
        <f>'5.8. Egészségügyi'!Q10</f>
        <v>732036</v>
      </c>
      <c r="R47" s="241">
        <f>'5.8. Egészségügyi'!R10</f>
        <v>10000000</v>
      </c>
      <c r="S47" s="241">
        <f>'5.8. Egészségügyi'!S10</f>
        <v>0</v>
      </c>
      <c r="T47" s="241">
        <f>'5.8. Egészségügyi'!T10</f>
        <v>0</v>
      </c>
      <c r="U47" s="241">
        <f>'5.8. Egészségügyi'!U10</f>
        <v>60000000</v>
      </c>
    </row>
    <row r="48" spans="1:21" s="11" customFormat="1" ht="18.75" thickBot="1">
      <c r="A48" s="394"/>
      <c r="B48" s="6" t="s">
        <v>87</v>
      </c>
      <c r="C48" s="9" t="s">
        <v>41</v>
      </c>
      <c r="D48" s="7">
        <f t="shared" si="3"/>
        <v>1000000</v>
      </c>
      <c r="E48" s="243">
        <f>'5.8. Egészségügyi'!E17</f>
        <v>0</v>
      </c>
      <c r="F48" s="244">
        <f>'5.8. Egészségügyi'!F17</f>
        <v>0</v>
      </c>
      <c r="G48" s="244">
        <f>'5.8. Egészségügyi'!G17</f>
        <v>0</v>
      </c>
      <c r="H48" s="244">
        <f>'5.8. Egészségügyi'!H17</f>
        <v>0</v>
      </c>
      <c r="I48" s="244">
        <f>'5.8. Egészségügyi'!I17</f>
        <v>1000000</v>
      </c>
      <c r="J48" s="244">
        <f>'5.8. Egészségügyi'!J17</f>
        <v>0</v>
      </c>
      <c r="K48" s="244">
        <f>'5.8. Egészségügyi'!K17</f>
        <v>0</v>
      </c>
      <c r="L48" s="244">
        <f>'5.8. Egészségügyi'!L17</f>
        <v>0</v>
      </c>
      <c r="M48" s="7">
        <f t="shared" si="6"/>
        <v>1000000</v>
      </c>
      <c r="N48" s="243">
        <f>'5.8. Egészségügyi'!N17</f>
        <v>0</v>
      </c>
      <c r="O48" s="244">
        <f>'5.8. Egészségügyi'!O17</f>
        <v>0</v>
      </c>
      <c r="P48" s="244">
        <f>'5.8. Egészségügyi'!P17</f>
        <v>0</v>
      </c>
      <c r="Q48" s="244">
        <f>'5.8. Egészségügyi'!Q17</f>
        <v>0</v>
      </c>
      <c r="R48" s="244">
        <f>'5.8. Egészségügyi'!R17</f>
        <v>1000000</v>
      </c>
      <c r="S48" s="244">
        <f>'5.8. Egészségügyi'!S17</f>
        <v>0</v>
      </c>
      <c r="T48" s="244">
        <f>'5.8. Egészségügyi'!T17</f>
        <v>0</v>
      </c>
      <c r="U48" s="244">
        <f>'5.8. Egészségügyi'!U17</f>
        <v>0</v>
      </c>
    </row>
    <row r="49" spans="1:21" s="11" customFormat="1" ht="18.75" thickBot="1">
      <c r="A49" s="394"/>
      <c r="B49" s="6" t="s">
        <v>88</v>
      </c>
      <c r="C49" s="250" t="s">
        <v>43</v>
      </c>
      <c r="D49" s="251">
        <f t="shared" si="3"/>
        <v>0</v>
      </c>
      <c r="E49" s="247">
        <f>'5.8. Egészségügyi'!E19</f>
        <v>0</v>
      </c>
      <c r="F49" s="248">
        <f>'5.8. Egészségügyi'!F19</f>
        <v>0</v>
      </c>
      <c r="G49" s="248">
        <f>'5.8. Egészségügyi'!G19</f>
        <v>0</v>
      </c>
      <c r="H49" s="248">
        <f>'5.8. Egészségügyi'!H19</f>
        <v>0</v>
      </c>
      <c r="I49" s="248">
        <f>'5.8. Egészségügyi'!I19</f>
        <v>0</v>
      </c>
      <c r="J49" s="248">
        <f>'5.8. Egészségügyi'!J19</f>
        <v>0</v>
      </c>
      <c r="K49" s="248">
        <f>'5.8. Egészségügyi'!K19</f>
        <v>0</v>
      </c>
      <c r="L49" s="248">
        <f>'5.8. Egészségügyi'!L19</f>
        <v>0</v>
      </c>
      <c r="M49" s="251">
        <f t="shared" si="6"/>
        <v>0</v>
      </c>
      <c r="N49" s="247">
        <f>'5.8. Egészségügyi'!N19</f>
        <v>0</v>
      </c>
      <c r="O49" s="248">
        <f>'5.8. Egészségügyi'!O19</f>
        <v>0</v>
      </c>
      <c r="P49" s="248">
        <f>'5.8. Egészségügyi'!P19</f>
        <v>0</v>
      </c>
      <c r="Q49" s="248">
        <f>'5.8. Egészségügyi'!Q19</f>
        <v>0</v>
      </c>
      <c r="R49" s="248">
        <f>'5.8. Egészségügyi'!R19</f>
        <v>0</v>
      </c>
      <c r="S49" s="248">
        <f>'5.8. Egészségügyi'!S19</f>
        <v>0</v>
      </c>
      <c r="T49" s="248">
        <f>'5.8. Egészségügyi'!T19</f>
        <v>0</v>
      </c>
      <c r="U49" s="248">
        <f>'5.8. Egészségügyi'!U19</f>
        <v>0</v>
      </c>
    </row>
    <row r="50" spans="1:21" s="11" customFormat="1" ht="18" customHeight="1">
      <c r="A50" s="235" t="s">
        <v>89</v>
      </c>
      <c r="B50" s="393" t="s">
        <v>90</v>
      </c>
      <c r="C50" s="393"/>
      <c r="D50" s="236">
        <f t="shared" si="3"/>
        <v>66500000</v>
      </c>
      <c r="E50" s="237">
        <f aca="true" t="shared" si="23" ref="E50:L50">SUM(E51:E53)</f>
        <v>0</v>
      </c>
      <c r="F50" s="238">
        <f t="shared" si="23"/>
        <v>0</v>
      </c>
      <c r="G50" s="238">
        <f t="shared" si="23"/>
        <v>3500000</v>
      </c>
      <c r="H50" s="238">
        <f t="shared" si="23"/>
        <v>0</v>
      </c>
      <c r="I50" s="238">
        <f t="shared" si="23"/>
        <v>63000000</v>
      </c>
      <c r="J50" s="238">
        <f t="shared" si="23"/>
        <v>0</v>
      </c>
      <c r="K50" s="238">
        <f t="shared" si="23"/>
        <v>0</v>
      </c>
      <c r="L50" s="238">
        <f t="shared" si="23"/>
        <v>0</v>
      </c>
      <c r="M50" s="236">
        <f t="shared" si="6"/>
        <v>62841000</v>
      </c>
      <c r="N50" s="237">
        <f aca="true" t="shared" si="24" ref="N50:U50">SUM(N51:N53)</f>
        <v>0</v>
      </c>
      <c r="O50" s="238">
        <f t="shared" si="24"/>
        <v>0</v>
      </c>
      <c r="P50" s="238">
        <f t="shared" si="24"/>
        <v>3500000</v>
      </c>
      <c r="Q50" s="238">
        <f t="shared" si="24"/>
        <v>0</v>
      </c>
      <c r="R50" s="238">
        <f t="shared" si="24"/>
        <v>59341000</v>
      </c>
      <c r="S50" s="238">
        <f t="shared" si="24"/>
        <v>0</v>
      </c>
      <c r="T50" s="238">
        <f t="shared" si="24"/>
        <v>0</v>
      </c>
      <c r="U50" s="238">
        <f t="shared" si="24"/>
        <v>0</v>
      </c>
    </row>
    <row r="51" spans="1:21" s="11" customFormat="1" ht="18.75" thickBot="1">
      <c r="A51" s="394"/>
      <c r="B51" s="6" t="s">
        <v>91</v>
      </c>
      <c r="C51" s="9" t="s">
        <v>39</v>
      </c>
      <c r="D51" s="7">
        <f t="shared" si="3"/>
        <v>50500000</v>
      </c>
      <c r="E51" s="240">
        <f>'5.9. Népjólét'!E10</f>
        <v>0</v>
      </c>
      <c r="F51" s="241">
        <f>'5.9. Népjólét'!F10</f>
        <v>0</v>
      </c>
      <c r="G51" s="241">
        <f>'5.9. Népjólét'!G10</f>
        <v>3500000</v>
      </c>
      <c r="H51" s="241">
        <f>'5.9. Népjólét'!H10</f>
        <v>0</v>
      </c>
      <c r="I51" s="241">
        <f>'5.9. Népjólét'!I10</f>
        <v>47000000</v>
      </c>
      <c r="J51" s="241">
        <f>'5.9. Népjólét'!J10</f>
        <v>0</v>
      </c>
      <c r="K51" s="241">
        <f>'5.9. Népjólét'!K10</f>
        <v>0</v>
      </c>
      <c r="L51" s="241">
        <f>'5.9. Népjólét'!L10</f>
        <v>0</v>
      </c>
      <c r="M51" s="7">
        <f t="shared" si="6"/>
        <v>50500000</v>
      </c>
      <c r="N51" s="240">
        <f>'5.9. Népjólét'!N10</f>
        <v>0</v>
      </c>
      <c r="O51" s="241">
        <f>'5.9. Népjólét'!O10</f>
        <v>0</v>
      </c>
      <c r="P51" s="241">
        <f>'5.9. Népjólét'!P10</f>
        <v>3500000</v>
      </c>
      <c r="Q51" s="241">
        <f>'5.9. Népjólét'!Q10</f>
        <v>0</v>
      </c>
      <c r="R51" s="241">
        <f>'5.9. Népjólét'!R10</f>
        <v>47000000</v>
      </c>
      <c r="S51" s="241">
        <f>'5.9. Népjólét'!S10</f>
        <v>0</v>
      </c>
      <c r="T51" s="241">
        <f>'5.9. Népjólét'!T10</f>
        <v>0</v>
      </c>
      <c r="U51" s="241">
        <f>'5.9. Népjólét'!U10</f>
        <v>0</v>
      </c>
    </row>
    <row r="52" spans="1:21" s="11" customFormat="1" ht="18.75" thickBot="1">
      <c r="A52" s="394"/>
      <c r="B52" s="6" t="s">
        <v>92</v>
      </c>
      <c r="C52" s="9" t="s">
        <v>41</v>
      </c>
      <c r="D52" s="7">
        <f t="shared" si="3"/>
        <v>16000000</v>
      </c>
      <c r="E52" s="243">
        <f>'5.9. Népjólét'!E14</f>
        <v>0</v>
      </c>
      <c r="F52" s="244">
        <f>'5.9. Népjólét'!F14</f>
        <v>0</v>
      </c>
      <c r="G52" s="244">
        <f>'5.9. Népjólét'!G14</f>
        <v>0</v>
      </c>
      <c r="H52" s="244">
        <f>'5.9. Népjólét'!H14</f>
        <v>0</v>
      </c>
      <c r="I52" s="244">
        <f>'5.9. Népjólét'!I14</f>
        <v>16000000</v>
      </c>
      <c r="J52" s="244">
        <f>'5.9. Népjólét'!J14</f>
        <v>0</v>
      </c>
      <c r="K52" s="244">
        <f>'5.9. Népjólét'!K14</f>
        <v>0</v>
      </c>
      <c r="L52" s="244">
        <f>'5.9. Népjólét'!L14</f>
        <v>0</v>
      </c>
      <c r="M52" s="7">
        <f t="shared" si="6"/>
        <v>12341000</v>
      </c>
      <c r="N52" s="243">
        <f>'5.9. Népjólét'!N14</f>
        <v>0</v>
      </c>
      <c r="O52" s="244">
        <f>'5.9. Népjólét'!O14</f>
        <v>0</v>
      </c>
      <c r="P52" s="244">
        <f>'5.9. Népjólét'!P14</f>
        <v>0</v>
      </c>
      <c r="Q52" s="244">
        <f>'5.9. Népjólét'!Q14</f>
        <v>0</v>
      </c>
      <c r="R52" s="244">
        <f>'5.9. Népjólét'!R14</f>
        <v>12341000</v>
      </c>
      <c r="S52" s="244">
        <f>'5.9. Népjólét'!S14</f>
        <v>0</v>
      </c>
      <c r="T52" s="244">
        <f>'5.9. Népjólét'!T14</f>
        <v>0</v>
      </c>
      <c r="U52" s="244">
        <f>'5.9. Népjólét'!U14</f>
        <v>0</v>
      </c>
    </row>
    <row r="53" spans="1:21" s="11" customFormat="1" ht="18.75" thickBot="1">
      <c r="A53" s="394"/>
      <c r="B53" s="6" t="s">
        <v>93</v>
      </c>
      <c r="C53" s="250" t="s">
        <v>43</v>
      </c>
      <c r="D53" s="251">
        <f t="shared" si="3"/>
        <v>0</v>
      </c>
      <c r="E53" s="247">
        <f>'5.9. Népjólét'!E18</f>
        <v>0</v>
      </c>
      <c r="F53" s="248">
        <f>'5.9. Népjólét'!F18</f>
        <v>0</v>
      </c>
      <c r="G53" s="248">
        <f>'5.9. Népjólét'!G18</f>
        <v>0</v>
      </c>
      <c r="H53" s="248">
        <f>'5.9. Népjólét'!H18</f>
        <v>0</v>
      </c>
      <c r="I53" s="248">
        <f>'5.9. Népjólét'!I18</f>
        <v>0</v>
      </c>
      <c r="J53" s="248">
        <f>'5.9. Népjólét'!J18</f>
        <v>0</v>
      </c>
      <c r="K53" s="248">
        <f>'5.9. Népjólét'!K18</f>
        <v>0</v>
      </c>
      <c r="L53" s="248">
        <f>'5.9. Népjólét'!L18</f>
        <v>0</v>
      </c>
      <c r="M53" s="251">
        <f t="shared" si="6"/>
        <v>0</v>
      </c>
      <c r="N53" s="247">
        <f>'5.9. Népjólét'!N18</f>
        <v>0</v>
      </c>
      <c r="O53" s="248">
        <f>'5.9. Népjólét'!O18</f>
        <v>0</v>
      </c>
      <c r="P53" s="248">
        <f>'5.9. Népjólét'!P18</f>
        <v>0</v>
      </c>
      <c r="Q53" s="248">
        <f>'5.9. Népjólét'!Q18</f>
        <v>0</v>
      </c>
      <c r="R53" s="248">
        <f>'5.9. Népjólét'!R18</f>
        <v>0</v>
      </c>
      <c r="S53" s="248">
        <f>'5.9. Népjólét'!S18</f>
        <v>0</v>
      </c>
      <c r="T53" s="248">
        <f>'5.9. Népjólét'!T18</f>
        <v>0</v>
      </c>
      <c r="U53" s="248">
        <f>'5.9. Népjólét'!U18</f>
        <v>0</v>
      </c>
    </row>
    <row r="54" spans="1:21" s="11" customFormat="1" ht="28.5" customHeight="1">
      <c r="A54" s="235" t="s">
        <v>94</v>
      </c>
      <c r="B54" s="393" t="s">
        <v>95</v>
      </c>
      <c r="C54" s="393"/>
      <c r="D54" s="236">
        <f t="shared" si="3"/>
        <v>76858500</v>
      </c>
      <c r="E54" s="237">
        <f aca="true" t="shared" si="25" ref="E54:L54">SUM(E55:E57)</f>
        <v>15246000</v>
      </c>
      <c r="F54" s="238">
        <f t="shared" si="25"/>
        <v>3249000</v>
      </c>
      <c r="G54" s="238">
        <f t="shared" si="25"/>
        <v>9863500</v>
      </c>
      <c r="H54" s="238">
        <f t="shared" si="25"/>
        <v>0</v>
      </c>
      <c r="I54" s="238">
        <f t="shared" si="25"/>
        <v>28500000</v>
      </c>
      <c r="J54" s="238">
        <f t="shared" si="25"/>
        <v>0</v>
      </c>
      <c r="K54" s="238">
        <f t="shared" si="25"/>
        <v>0</v>
      </c>
      <c r="L54" s="238">
        <f t="shared" si="25"/>
        <v>20000000</v>
      </c>
      <c r="M54" s="236">
        <f t="shared" si="6"/>
        <v>48258500</v>
      </c>
      <c r="N54" s="237">
        <f aca="true" t="shared" si="26" ref="N54:U54">SUM(N55:N57)</f>
        <v>5166000</v>
      </c>
      <c r="O54" s="238">
        <f t="shared" si="26"/>
        <v>1029000</v>
      </c>
      <c r="P54" s="238">
        <f t="shared" si="26"/>
        <v>4239820</v>
      </c>
      <c r="Q54" s="238">
        <f t="shared" si="26"/>
        <v>0</v>
      </c>
      <c r="R54" s="238">
        <f t="shared" si="26"/>
        <v>22823680</v>
      </c>
      <c r="S54" s="238">
        <f t="shared" si="26"/>
        <v>0</v>
      </c>
      <c r="T54" s="238">
        <f t="shared" si="26"/>
        <v>0</v>
      </c>
      <c r="U54" s="238">
        <f t="shared" si="26"/>
        <v>15000000</v>
      </c>
    </row>
    <row r="55" spans="1:21" s="11" customFormat="1" ht="18.75" thickBot="1">
      <c r="A55" s="394"/>
      <c r="B55" s="6" t="s">
        <v>96</v>
      </c>
      <c r="C55" s="9" t="s">
        <v>39</v>
      </c>
      <c r="D55" s="7">
        <f t="shared" si="3"/>
        <v>14863500</v>
      </c>
      <c r="E55" s="240">
        <f>'5.10. Sportfeladatok'!E10</f>
        <v>0</v>
      </c>
      <c r="F55" s="241">
        <f>'5.10. Sportfeladatok'!F10</f>
        <v>0</v>
      </c>
      <c r="G55" s="241">
        <f>'5.10. Sportfeladatok'!G10</f>
        <v>9863500</v>
      </c>
      <c r="H55" s="241">
        <f>'5.10. Sportfeladatok'!H10</f>
        <v>0</v>
      </c>
      <c r="I55" s="241">
        <f>'5.10. Sportfeladatok'!I10</f>
        <v>5000000</v>
      </c>
      <c r="J55" s="241">
        <f>'5.10. Sportfeladatok'!J10</f>
        <v>0</v>
      </c>
      <c r="K55" s="241">
        <f>'5.10. Sportfeladatok'!K10</f>
        <v>0</v>
      </c>
      <c r="L55" s="241">
        <f>'5.10. Sportfeladatok'!L10</f>
        <v>0</v>
      </c>
      <c r="M55" s="7">
        <f t="shared" si="6"/>
        <v>4563500</v>
      </c>
      <c r="N55" s="240">
        <f>'5.10. Sportfeladatok'!N10</f>
        <v>0</v>
      </c>
      <c r="O55" s="241">
        <f>'5.10. Sportfeladatok'!O10</f>
        <v>0</v>
      </c>
      <c r="P55" s="241">
        <f>'5.10. Sportfeladatok'!P10</f>
        <v>4239820</v>
      </c>
      <c r="Q55" s="241">
        <f>'5.10. Sportfeladatok'!Q10</f>
        <v>0</v>
      </c>
      <c r="R55" s="241">
        <f>'5.10. Sportfeladatok'!R10</f>
        <v>323680</v>
      </c>
      <c r="S55" s="241">
        <f>'5.10. Sportfeladatok'!S10</f>
        <v>0</v>
      </c>
      <c r="T55" s="241">
        <f>'5.10. Sportfeladatok'!T10</f>
        <v>0</v>
      </c>
      <c r="U55" s="241">
        <f>'5.10. Sportfeladatok'!U10</f>
        <v>0</v>
      </c>
    </row>
    <row r="56" spans="1:21" s="11" customFormat="1" ht="18.75" thickBot="1">
      <c r="A56" s="394"/>
      <c r="B56" s="6" t="s">
        <v>97</v>
      </c>
      <c r="C56" s="9" t="s">
        <v>41</v>
      </c>
      <c r="D56" s="7">
        <f t="shared" si="3"/>
        <v>61995000</v>
      </c>
      <c r="E56" s="243">
        <f>'5.10. Sportfeladatok'!E17</f>
        <v>15246000</v>
      </c>
      <c r="F56" s="244">
        <f>'5.10. Sportfeladatok'!F17</f>
        <v>3249000</v>
      </c>
      <c r="G56" s="244">
        <f>'5.10. Sportfeladatok'!G17</f>
        <v>0</v>
      </c>
      <c r="H56" s="244">
        <f>'5.10. Sportfeladatok'!H17</f>
        <v>0</v>
      </c>
      <c r="I56" s="244">
        <f>'5.10. Sportfeladatok'!I17</f>
        <v>23500000</v>
      </c>
      <c r="J56" s="244">
        <f>'5.10. Sportfeladatok'!J17</f>
        <v>0</v>
      </c>
      <c r="K56" s="244">
        <f>'5.10. Sportfeladatok'!K17</f>
        <v>0</v>
      </c>
      <c r="L56" s="244">
        <f>'5.10. Sportfeladatok'!L17</f>
        <v>20000000</v>
      </c>
      <c r="M56" s="7">
        <f t="shared" si="6"/>
        <v>43695000</v>
      </c>
      <c r="N56" s="243">
        <f>'5.10. Sportfeladatok'!N17</f>
        <v>5166000</v>
      </c>
      <c r="O56" s="244">
        <f>'5.10. Sportfeladatok'!O17</f>
        <v>1029000</v>
      </c>
      <c r="P56" s="244">
        <f>'5.10. Sportfeladatok'!P17</f>
        <v>0</v>
      </c>
      <c r="Q56" s="244">
        <f>'5.10. Sportfeladatok'!Q17</f>
        <v>0</v>
      </c>
      <c r="R56" s="244">
        <f>'5.10. Sportfeladatok'!R17</f>
        <v>22500000</v>
      </c>
      <c r="S56" s="244">
        <f>'5.10. Sportfeladatok'!S17</f>
        <v>0</v>
      </c>
      <c r="T56" s="244">
        <f>'5.10. Sportfeladatok'!T17</f>
        <v>0</v>
      </c>
      <c r="U56" s="244">
        <f>'5.10. Sportfeladatok'!U17</f>
        <v>15000000</v>
      </c>
    </row>
    <row r="57" spans="1:21" s="11" customFormat="1" ht="18.75" thickBot="1">
      <c r="A57" s="394"/>
      <c r="B57" s="6" t="s">
        <v>98</v>
      </c>
      <c r="C57" s="250" t="s">
        <v>43</v>
      </c>
      <c r="D57" s="251">
        <f t="shared" si="3"/>
        <v>0</v>
      </c>
      <c r="E57" s="247">
        <f>'5.10. Sportfeladatok'!E25</f>
        <v>0</v>
      </c>
      <c r="F57" s="248">
        <f>'5.10. Sportfeladatok'!F25</f>
        <v>0</v>
      </c>
      <c r="G57" s="248">
        <f>'5.10. Sportfeladatok'!G25</f>
        <v>0</v>
      </c>
      <c r="H57" s="248">
        <f>'5.10. Sportfeladatok'!H25</f>
        <v>0</v>
      </c>
      <c r="I57" s="248">
        <f>'5.10. Sportfeladatok'!I25</f>
        <v>0</v>
      </c>
      <c r="J57" s="248">
        <f>'5.10. Sportfeladatok'!J25</f>
        <v>0</v>
      </c>
      <c r="K57" s="248">
        <f>'5.10. Sportfeladatok'!K25</f>
        <v>0</v>
      </c>
      <c r="L57" s="248">
        <f>'5.10. Sportfeladatok'!L25</f>
        <v>0</v>
      </c>
      <c r="M57" s="251">
        <f t="shared" si="6"/>
        <v>0</v>
      </c>
      <c r="N57" s="247">
        <f>'5.10. Sportfeladatok'!N25</f>
        <v>0</v>
      </c>
      <c r="O57" s="248">
        <f>'5.10. Sportfeladatok'!O25</f>
        <v>0</v>
      </c>
      <c r="P57" s="248">
        <f>'5.10. Sportfeladatok'!P25</f>
        <v>0</v>
      </c>
      <c r="Q57" s="248">
        <f>'5.10. Sportfeladatok'!Q25</f>
        <v>0</v>
      </c>
      <c r="R57" s="248">
        <f>'5.10. Sportfeladatok'!R25</f>
        <v>0</v>
      </c>
      <c r="S57" s="248">
        <f>'5.10. Sportfeladatok'!S25</f>
        <v>0</v>
      </c>
      <c r="T57" s="248">
        <f>'5.10. Sportfeladatok'!T25</f>
        <v>0</v>
      </c>
      <c r="U57" s="248">
        <f>'5.10. Sportfeladatok'!U25</f>
        <v>0</v>
      </c>
    </row>
    <row r="58" spans="1:21" s="11" customFormat="1" ht="18" customHeight="1">
      <c r="A58" s="235" t="s">
        <v>99</v>
      </c>
      <c r="B58" s="393" t="s">
        <v>100</v>
      </c>
      <c r="C58" s="393"/>
      <c r="D58" s="236">
        <f t="shared" si="3"/>
        <v>381414570</v>
      </c>
      <c r="E58" s="237">
        <f aca="true" t="shared" si="27" ref="E58:L58">SUM(E59:E60)</f>
        <v>0</v>
      </c>
      <c r="F58" s="238">
        <f t="shared" si="27"/>
        <v>0</v>
      </c>
      <c r="G58" s="238">
        <f t="shared" si="27"/>
        <v>0</v>
      </c>
      <c r="H58" s="238">
        <f>SUM(H59:H60)</f>
        <v>381414570</v>
      </c>
      <c r="I58" s="238">
        <f t="shared" si="27"/>
        <v>0</v>
      </c>
      <c r="J58" s="238">
        <f t="shared" si="27"/>
        <v>0</v>
      </c>
      <c r="K58" s="238">
        <f t="shared" si="27"/>
        <v>0</v>
      </c>
      <c r="L58" s="238">
        <f t="shared" si="27"/>
        <v>0</v>
      </c>
      <c r="M58" s="236">
        <f t="shared" si="6"/>
        <v>375294336</v>
      </c>
      <c r="N58" s="237">
        <f aca="true" t="shared" si="28" ref="N58:U58">SUM(N59:N60)</f>
        <v>0</v>
      </c>
      <c r="O58" s="238">
        <f t="shared" si="28"/>
        <v>0</v>
      </c>
      <c r="P58" s="238">
        <f t="shared" si="28"/>
        <v>4677079</v>
      </c>
      <c r="Q58" s="238">
        <f t="shared" si="28"/>
        <v>366088235</v>
      </c>
      <c r="R58" s="238">
        <f t="shared" si="28"/>
        <v>4529022</v>
      </c>
      <c r="S58" s="238">
        <f t="shared" si="28"/>
        <v>0</v>
      </c>
      <c r="T58" s="238">
        <f t="shared" si="28"/>
        <v>0</v>
      </c>
      <c r="U58" s="238">
        <f t="shared" si="28"/>
        <v>0</v>
      </c>
    </row>
    <row r="59" spans="1:21" s="11" customFormat="1" ht="18.75" thickBot="1">
      <c r="A59" s="394"/>
      <c r="B59" s="6" t="s">
        <v>101</v>
      </c>
      <c r="C59" s="9" t="s">
        <v>39</v>
      </c>
      <c r="D59" s="7">
        <f t="shared" si="3"/>
        <v>184079970</v>
      </c>
      <c r="E59" s="240">
        <f>'5.11. Szoc'!F10</f>
        <v>0</v>
      </c>
      <c r="F59" s="241">
        <f>'5.11. Szoc'!G10</f>
        <v>0</v>
      </c>
      <c r="G59" s="241">
        <f>'5.11. Szoc'!H10</f>
        <v>0</v>
      </c>
      <c r="H59" s="241">
        <f>'5.11. Szoc'!I10</f>
        <v>184079970</v>
      </c>
      <c r="I59" s="241">
        <f>'5.11. Szoc'!J10</f>
        <v>0</v>
      </c>
      <c r="J59" s="241">
        <f>'5.11. Szoc'!K10</f>
        <v>0</v>
      </c>
      <c r="K59" s="241">
        <f>'5.11. Szoc'!L10</f>
        <v>0</v>
      </c>
      <c r="L59" s="241">
        <f>'5.11. Szoc'!M10</f>
        <v>0</v>
      </c>
      <c r="M59" s="7">
        <f t="shared" si="6"/>
        <v>182959736</v>
      </c>
      <c r="N59" s="240">
        <f>'5.11. Szoc'!O10</f>
        <v>0</v>
      </c>
      <c r="O59" s="241">
        <f>'5.11. Szoc'!P10</f>
        <v>0</v>
      </c>
      <c r="P59" s="241">
        <f>'5.11. Szoc'!Q10</f>
        <v>4677079</v>
      </c>
      <c r="Q59" s="241">
        <f>'5.11. Szoc'!R10</f>
        <v>173753635</v>
      </c>
      <c r="R59" s="241">
        <f>'5.11. Szoc'!S10</f>
        <v>4529022</v>
      </c>
      <c r="S59" s="241">
        <f>'5.11. Szoc'!T10</f>
        <v>0</v>
      </c>
      <c r="T59" s="241">
        <f>'5.11. Szoc'!U10</f>
        <v>0</v>
      </c>
      <c r="U59" s="241">
        <f>'5.11. Szoc'!V10</f>
        <v>0</v>
      </c>
    </row>
    <row r="60" spans="1:21" s="11" customFormat="1" ht="18.75" thickBot="1">
      <c r="A60" s="394"/>
      <c r="B60" s="6" t="s">
        <v>102</v>
      </c>
      <c r="C60" s="9" t="s">
        <v>41</v>
      </c>
      <c r="D60" s="7">
        <f t="shared" si="3"/>
        <v>197334600</v>
      </c>
      <c r="E60" s="243">
        <f>'5.11. Szoc'!F23</f>
        <v>0</v>
      </c>
      <c r="F60" s="244">
        <f>'5.11. Szoc'!G23</f>
        <v>0</v>
      </c>
      <c r="G60" s="244">
        <f>'5.11. Szoc'!H23</f>
        <v>0</v>
      </c>
      <c r="H60" s="244">
        <f>'5.11. Szoc'!I23</f>
        <v>197334600</v>
      </c>
      <c r="I60" s="244">
        <f>'5.11. Szoc'!J23</f>
        <v>0</v>
      </c>
      <c r="J60" s="244">
        <f>'5.11. Szoc'!K23</f>
        <v>0</v>
      </c>
      <c r="K60" s="244">
        <f>'5.11. Szoc'!L23</f>
        <v>0</v>
      </c>
      <c r="L60" s="244">
        <f>'5.11. Szoc'!M23</f>
        <v>0</v>
      </c>
      <c r="M60" s="7">
        <f t="shared" si="6"/>
        <v>192334600</v>
      </c>
      <c r="N60" s="243">
        <f>'5.11. Szoc'!O23</f>
        <v>0</v>
      </c>
      <c r="O60" s="244">
        <f>'5.11. Szoc'!P23</f>
        <v>0</v>
      </c>
      <c r="P60" s="244">
        <f>'5.11. Szoc'!Q23</f>
        <v>0</v>
      </c>
      <c r="Q60" s="244">
        <f>'5.11. Szoc'!R23</f>
        <v>192334600</v>
      </c>
      <c r="R60" s="244">
        <f>'5.11. Szoc'!S23</f>
        <v>0</v>
      </c>
      <c r="S60" s="244">
        <f>'5.11. Szoc'!T23</f>
        <v>0</v>
      </c>
      <c r="T60" s="244">
        <f>'5.11. Szoc'!U23</f>
        <v>0</v>
      </c>
      <c r="U60" s="244">
        <f>'5.11. Szoc'!V23</f>
        <v>0</v>
      </c>
    </row>
    <row r="61" spans="1:21" s="11" customFormat="1" ht="18.75" thickBot="1">
      <c r="A61" s="394"/>
      <c r="B61" s="6" t="s">
        <v>103</v>
      </c>
      <c r="C61" s="250" t="s">
        <v>43</v>
      </c>
      <c r="D61" s="251">
        <f t="shared" si="3"/>
        <v>0</v>
      </c>
      <c r="E61" s="247">
        <f>'5.11. Szoc'!F28</f>
        <v>0</v>
      </c>
      <c r="F61" s="248">
        <f>'5.11. Szoc'!G28</f>
        <v>0</v>
      </c>
      <c r="G61" s="248">
        <f>'5.11. Szoc'!H28</f>
        <v>0</v>
      </c>
      <c r="H61" s="248">
        <f>'5.11. Szoc'!I28</f>
        <v>0</v>
      </c>
      <c r="I61" s="248">
        <f>'5.11. Szoc'!J28</f>
        <v>0</v>
      </c>
      <c r="J61" s="248">
        <f>'5.11. Szoc'!K28</f>
        <v>0</v>
      </c>
      <c r="K61" s="248">
        <f>'5.11. Szoc'!L28</f>
        <v>0</v>
      </c>
      <c r="L61" s="248">
        <f>'5.11. Szoc'!M28</f>
        <v>0</v>
      </c>
      <c r="M61" s="251">
        <f t="shared" si="6"/>
        <v>0</v>
      </c>
      <c r="N61" s="247">
        <f>'5.11. Szoc'!O28</f>
        <v>0</v>
      </c>
      <c r="O61" s="248">
        <f>'5.11. Szoc'!P28</f>
        <v>0</v>
      </c>
      <c r="P61" s="248">
        <f>'5.11. Szoc'!Q28</f>
        <v>0</v>
      </c>
      <c r="Q61" s="248">
        <f>'5.11. Szoc'!R28</f>
        <v>0</v>
      </c>
      <c r="R61" s="248">
        <f>'5.11. Szoc'!S28</f>
        <v>0</v>
      </c>
      <c r="S61" s="248">
        <f>'5.11. Szoc'!T28</f>
        <v>0</v>
      </c>
      <c r="T61" s="248">
        <f>'5.11. Szoc'!U28</f>
        <v>0</v>
      </c>
      <c r="U61" s="248">
        <f>'5.11. Szoc'!V28</f>
        <v>0</v>
      </c>
    </row>
    <row r="62" spans="1:21" s="11" customFormat="1" ht="18" customHeight="1">
      <c r="A62" s="235" t="s">
        <v>104</v>
      </c>
      <c r="B62" s="393" t="s">
        <v>105</v>
      </c>
      <c r="C62" s="393"/>
      <c r="D62" s="236">
        <f t="shared" si="3"/>
        <v>10500000</v>
      </c>
      <c r="E62" s="237">
        <f aca="true" t="shared" si="29" ref="E62:L62">SUM(E63:E65)</f>
        <v>0</v>
      </c>
      <c r="F62" s="238">
        <f t="shared" si="29"/>
        <v>0</v>
      </c>
      <c r="G62" s="238">
        <f t="shared" si="29"/>
        <v>0</v>
      </c>
      <c r="H62" s="238">
        <f t="shared" si="29"/>
        <v>0</v>
      </c>
      <c r="I62" s="238">
        <f t="shared" si="29"/>
        <v>10500000</v>
      </c>
      <c r="J62" s="238">
        <f t="shared" si="29"/>
        <v>0</v>
      </c>
      <c r="K62" s="238">
        <f t="shared" si="29"/>
        <v>0</v>
      </c>
      <c r="L62" s="238">
        <f t="shared" si="29"/>
        <v>0</v>
      </c>
      <c r="M62" s="236">
        <f t="shared" si="6"/>
        <v>50000000</v>
      </c>
      <c r="N62" s="237">
        <f aca="true" t="shared" si="30" ref="N62:U62">SUM(N63:N65)</f>
        <v>0</v>
      </c>
      <c r="O62" s="238">
        <f t="shared" si="30"/>
        <v>0</v>
      </c>
      <c r="P62" s="238">
        <f t="shared" si="30"/>
        <v>0</v>
      </c>
      <c r="Q62" s="238">
        <f t="shared" si="30"/>
        <v>0</v>
      </c>
      <c r="R62" s="238">
        <f t="shared" si="30"/>
        <v>49553414</v>
      </c>
      <c r="S62" s="238">
        <f t="shared" si="30"/>
        <v>0</v>
      </c>
      <c r="T62" s="238">
        <f t="shared" si="30"/>
        <v>0</v>
      </c>
      <c r="U62" s="238">
        <f t="shared" si="30"/>
        <v>446586</v>
      </c>
    </row>
    <row r="63" spans="1:21" s="11" customFormat="1" ht="18.75" thickBot="1">
      <c r="A63" s="394"/>
      <c r="B63" s="6" t="s">
        <v>106</v>
      </c>
      <c r="C63" s="9" t="s">
        <v>39</v>
      </c>
      <c r="D63" s="7">
        <f t="shared" si="3"/>
        <v>10500000</v>
      </c>
      <c r="E63" s="240">
        <v>0</v>
      </c>
      <c r="F63" s="241">
        <v>0</v>
      </c>
      <c r="G63" s="241">
        <v>0</v>
      </c>
      <c r="H63" s="241">
        <v>0</v>
      </c>
      <c r="I63" s="241">
        <v>10500000</v>
      </c>
      <c r="J63" s="241">
        <v>0</v>
      </c>
      <c r="K63" s="241">
        <v>0</v>
      </c>
      <c r="L63" s="242">
        <v>0</v>
      </c>
      <c r="M63" s="7">
        <f t="shared" si="6"/>
        <v>50000000</v>
      </c>
      <c r="N63" s="240">
        <v>0</v>
      </c>
      <c r="O63" s="241">
        <v>0</v>
      </c>
      <c r="P63" s="241">
        <v>0</v>
      </c>
      <c r="Q63" s="241">
        <v>0</v>
      </c>
      <c r="R63" s="241">
        <v>49553414</v>
      </c>
      <c r="S63" s="241">
        <v>0</v>
      </c>
      <c r="T63" s="241">
        <v>0</v>
      </c>
      <c r="U63" s="242">
        <v>446586</v>
      </c>
    </row>
    <row r="64" spans="1:21" s="11" customFormat="1" ht="18.75" thickBot="1">
      <c r="A64" s="394"/>
      <c r="B64" s="6" t="s">
        <v>107</v>
      </c>
      <c r="C64" s="9" t="s">
        <v>41</v>
      </c>
      <c r="D64" s="7">
        <f t="shared" si="3"/>
        <v>0</v>
      </c>
      <c r="E64" s="243">
        <v>0</v>
      </c>
      <c r="F64" s="244">
        <v>0</v>
      </c>
      <c r="G64" s="244">
        <v>0</v>
      </c>
      <c r="H64" s="244">
        <v>0</v>
      </c>
      <c r="I64" s="244">
        <v>0</v>
      </c>
      <c r="J64" s="244">
        <v>0</v>
      </c>
      <c r="K64" s="244">
        <v>0</v>
      </c>
      <c r="L64" s="245">
        <v>0</v>
      </c>
      <c r="M64" s="7">
        <f t="shared" si="6"/>
        <v>0</v>
      </c>
      <c r="N64" s="243">
        <v>0</v>
      </c>
      <c r="O64" s="244">
        <v>0</v>
      </c>
      <c r="P64" s="244">
        <v>0</v>
      </c>
      <c r="Q64" s="244">
        <v>0</v>
      </c>
      <c r="R64" s="244">
        <v>0</v>
      </c>
      <c r="S64" s="244">
        <v>0</v>
      </c>
      <c r="T64" s="244">
        <v>0</v>
      </c>
      <c r="U64" s="245">
        <v>0</v>
      </c>
    </row>
    <row r="65" spans="1:21" s="11" customFormat="1" ht="18.75" thickBot="1">
      <c r="A65" s="394"/>
      <c r="B65" s="6" t="s">
        <v>108</v>
      </c>
      <c r="C65" s="250" t="s">
        <v>43</v>
      </c>
      <c r="D65" s="251">
        <f t="shared" si="3"/>
        <v>0</v>
      </c>
      <c r="E65" s="247">
        <v>0</v>
      </c>
      <c r="F65" s="248">
        <v>0</v>
      </c>
      <c r="G65" s="248">
        <v>0</v>
      </c>
      <c r="H65" s="248">
        <v>0</v>
      </c>
      <c r="I65" s="248">
        <v>0</v>
      </c>
      <c r="J65" s="248">
        <v>0</v>
      </c>
      <c r="K65" s="248">
        <v>0</v>
      </c>
      <c r="L65" s="249">
        <v>0</v>
      </c>
      <c r="M65" s="251">
        <f t="shared" si="6"/>
        <v>0</v>
      </c>
      <c r="N65" s="247">
        <v>0</v>
      </c>
      <c r="O65" s="248">
        <v>0</v>
      </c>
      <c r="P65" s="248">
        <v>0</v>
      </c>
      <c r="Q65" s="248">
        <v>0</v>
      </c>
      <c r="R65" s="248">
        <v>0</v>
      </c>
      <c r="S65" s="248">
        <v>0</v>
      </c>
      <c r="T65" s="248">
        <v>0</v>
      </c>
      <c r="U65" s="249">
        <v>0</v>
      </c>
    </row>
    <row r="66" spans="1:21" s="11" customFormat="1" ht="18" customHeight="1">
      <c r="A66" s="235" t="s">
        <v>109</v>
      </c>
      <c r="B66" s="393" t="s">
        <v>110</v>
      </c>
      <c r="C66" s="393"/>
      <c r="D66" s="236">
        <f t="shared" si="3"/>
        <v>236080869</v>
      </c>
      <c r="E66" s="237">
        <f aca="true" t="shared" si="31" ref="E66:L66">SUM(E67:E69)</f>
        <v>3620959</v>
      </c>
      <c r="F66" s="238">
        <f t="shared" si="31"/>
        <v>4491759</v>
      </c>
      <c r="G66" s="238">
        <f t="shared" si="31"/>
        <v>45610627</v>
      </c>
      <c r="H66" s="238">
        <f t="shared" si="31"/>
        <v>0</v>
      </c>
      <c r="I66" s="238">
        <f t="shared" si="31"/>
        <v>89942924</v>
      </c>
      <c r="J66" s="238">
        <f t="shared" si="31"/>
        <v>40614600</v>
      </c>
      <c r="K66" s="238">
        <f t="shared" si="31"/>
        <v>0</v>
      </c>
      <c r="L66" s="238">
        <f t="shared" si="31"/>
        <v>51800000</v>
      </c>
      <c r="M66" s="236">
        <f t="shared" si="6"/>
        <v>178398461</v>
      </c>
      <c r="N66" s="237">
        <f aca="true" t="shared" si="32" ref="N66:U66">SUM(N67:N69)</f>
        <v>906040</v>
      </c>
      <c r="O66" s="238">
        <f t="shared" si="32"/>
        <v>3826666</v>
      </c>
      <c r="P66" s="238">
        <f t="shared" si="32"/>
        <v>33673744</v>
      </c>
      <c r="Q66" s="238">
        <f t="shared" si="32"/>
        <v>0</v>
      </c>
      <c r="R66" s="238">
        <f t="shared" si="32"/>
        <v>54139516</v>
      </c>
      <c r="S66" s="238">
        <f t="shared" si="32"/>
        <v>41552495</v>
      </c>
      <c r="T66" s="238">
        <f t="shared" si="32"/>
        <v>0</v>
      </c>
      <c r="U66" s="238">
        <f t="shared" si="32"/>
        <v>44300000</v>
      </c>
    </row>
    <row r="67" spans="1:21" s="11" customFormat="1" ht="18.75" thickBot="1">
      <c r="A67" s="394"/>
      <c r="B67" s="6" t="s">
        <v>111</v>
      </c>
      <c r="C67" s="9" t="s">
        <v>39</v>
      </c>
      <c r="D67" s="7">
        <f t="shared" si="3"/>
        <v>236080869</v>
      </c>
      <c r="E67" s="240">
        <f>'5.12. Közművelődés'!F10</f>
        <v>3620959</v>
      </c>
      <c r="F67" s="241">
        <f>'5.12. Közművelődés'!G10</f>
        <v>4491759</v>
      </c>
      <c r="G67" s="241">
        <f>'5.12. Közművelődés'!H10</f>
        <v>45610627</v>
      </c>
      <c r="H67" s="241">
        <f>'5.12. Közművelődés'!I10</f>
        <v>0</v>
      </c>
      <c r="I67" s="241">
        <f>'5.12. Közművelődés'!J10</f>
        <v>89942924</v>
      </c>
      <c r="J67" s="241">
        <f>'5.12. Közművelődés'!K10</f>
        <v>40614600</v>
      </c>
      <c r="K67" s="241">
        <f>'5.12. Közművelődés'!L10</f>
        <v>0</v>
      </c>
      <c r="L67" s="241">
        <f>'5.12. Közművelődés'!M10</f>
        <v>51800000</v>
      </c>
      <c r="M67" s="7">
        <f t="shared" si="6"/>
        <v>178398461</v>
      </c>
      <c r="N67" s="240">
        <f>'5.12. Közművelődés'!O10</f>
        <v>906040</v>
      </c>
      <c r="O67" s="241">
        <f>'5.12. Közművelődés'!P10</f>
        <v>3826666</v>
      </c>
      <c r="P67" s="241">
        <f>'5.12. Közművelődés'!Q10</f>
        <v>33673744</v>
      </c>
      <c r="Q67" s="241">
        <f>'5.12. Közművelődés'!R10</f>
        <v>0</v>
      </c>
      <c r="R67" s="241">
        <f>'5.12. Közművelődés'!S10</f>
        <v>54139516</v>
      </c>
      <c r="S67" s="241">
        <f>'5.12. Közművelődés'!T10</f>
        <v>41552495</v>
      </c>
      <c r="T67" s="241">
        <f>'5.12. Közművelődés'!U10</f>
        <v>0</v>
      </c>
      <c r="U67" s="241">
        <f>'5.12. Közművelődés'!V10</f>
        <v>44300000</v>
      </c>
    </row>
    <row r="68" spans="1:21" s="11" customFormat="1" ht="18.75" thickBot="1">
      <c r="A68" s="394"/>
      <c r="B68" s="6" t="s">
        <v>112</v>
      </c>
      <c r="C68" s="9" t="s">
        <v>41</v>
      </c>
      <c r="D68" s="7">
        <f t="shared" si="3"/>
        <v>0</v>
      </c>
      <c r="E68" s="243">
        <f>'5.12. Közművelődés'!F48</f>
        <v>0</v>
      </c>
      <c r="F68" s="244">
        <f>'5.12. Közművelődés'!G48</f>
        <v>0</v>
      </c>
      <c r="G68" s="244">
        <f>'5.12. Közművelődés'!H48</f>
        <v>0</v>
      </c>
      <c r="H68" s="244">
        <f>'5.12. Közművelődés'!I48</f>
        <v>0</v>
      </c>
      <c r="I68" s="244">
        <f>'5.12. Közművelődés'!J48</f>
        <v>0</v>
      </c>
      <c r="J68" s="244">
        <f>'5.12. Közművelődés'!K48</f>
        <v>0</v>
      </c>
      <c r="K68" s="244">
        <f>'5.12. Közművelődés'!L48</f>
        <v>0</v>
      </c>
      <c r="L68" s="244">
        <f>'5.12. Közművelődés'!M48</f>
        <v>0</v>
      </c>
      <c r="M68" s="7">
        <f t="shared" si="6"/>
        <v>0</v>
      </c>
      <c r="N68" s="243">
        <f>'5.12. Közművelődés'!O48</f>
        <v>0</v>
      </c>
      <c r="O68" s="244">
        <f>'5.12. Közművelődés'!P48</f>
        <v>0</v>
      </c>
      <c r="P68" s="244">
        <f>'5.12. Közművelődés'!Q48</f>
        <v>0</v>
      </c>
      <c r="Q68" s="244">
        <f>'5.12. Közművelődés'!R48</f>
        <v>0</v>
      </c>
      <c r="R68" s="244">
        <f>'5.12. Közművelődés'!S48</f>
        <v>0</v>
      </c>
      <c r="S68" s="244">
        <f>'5.12. Közművelődés'!T48</f>
        <v>0</v>
      </c>
      <c r="T68" s="244">
        <f>'5.12. Közművelődés'!U48</f>
        <v>0</v>
      </c>
      <c r="U68" s="244">
        <f>'5.12. Közművelődés'!V48</f>
        <v>0</v>
      </c>
    </row>
    <row r="69" spans="1:21" s="11" customFormat="1" ht="18.75" thickBot="1">
      <c r="A69" s="394"/>
      <c r="B69" s="6" t="s">
        <v>113</v>
      </c>
      <c r="C69" s="250" t="s">
        <v>43</v>
      </c>
      <c r="D69" s="251">
        <f t="shared" si="3"/>
        <v>0</v>
      </c>
      <c r="E69" s="247">
        <f>'5.12. Közművelődés'!F49</f>
        <v>0</v>
      </c>
      <c r="F69" s="248">
        <f>'5.12. Közművelődés'!G49</f>
        <v>0</v>
      </c>
      <c r="G69" s="248">
        <f>'5.12. Közművelődés'!H49</f>
        <v>0</v>
      </c>
      <c r="H69" s="248">
        <f>'5.12. Közművelődés'!I49</f>
        <v>0</v>
      </c>
      <c r="I69" s="248">
        <f>'5.12. Közművelődés'!J49</f>
        <v>0</v>
      </c>
      <c r="J69" s="248">
        <f>'5.12. Közművelődés'!K49</f>
        <v>0</v>
      </c>
      <c r="K69" s="248">
        <f>'5.12. Közművelődés'!L49</f>
        <v>0</v>
      </c>
      <c r="L69" s="248">
        <f>'5.12. Közművelődés'!M49</f>
        <v>0</v>
      </c>
      <c r="M69" s="251">
        <f t="shared" si="6"/>
        <v>0</v>
      </c>
      <c r="N69" s="247">
        <f>'5.12. Közművelődés'!O49</f>
        <v>0</v>
      </c>
      <c r="O69" s="248">
        <f>'5.12. Közművelődés'!P49</f>
        <v>0</v>
      </c>
      <c r="P69" s="248">
        <f>'5.12. Közművelődés'!Q49</f>
        <v>0</v>
      </c>
      <c r="Q69" s="248">
        <f>'5.12. Közművelődés'!R49</f>
        <v>0</v>
      </c>
      <c r="R69" s="248">
        <f>'5.12. Közművelődés'!S49</f>
        <v>0</v>
      </c>
      <c r="S69" s="248">
        <f>'5.12. Közművelődés'!T49</f>
        <v>0</v>
      </c>
      <c r="T69" s="248">
        <f>'5.12. Közművelődés'!U49</f>
        <v>0</v>
      </c>
      <c r="U69" s="248">
        <f>'5.12. Közművelődés'!V49</f>
        <v>0</v>
      </c>
    </row>
    <row r="70" spans="1:21" s="11" customFormat="1" ht="18" customHeight="1">
      <c r="A70" s="235" t="s">
        <v>114</v>
      </c>
      <c r="B70" s="393" t="s">
        <v>115</v>
      </c>
      <c r="C70" s="393"/>
      <c r="D70" s="236">
        <f t="shared" si="3"/>
        <v>3264053644</v>
      </c>
      <c r="E70" s="237">
        <f aca="true" t="shared" si="33" ref="E70:L70">SUM(E71:E73)</f>
        <v>0</v>
      </c>
      <c r="F70" s="238">
        <f t="shared" si="33"/>
        <v>0</v>
      </c>
      <c r="G70" s="238">
        <f t="shared" si="33"/>
        <v>29953644</v>
      </c>
      <c r="H70" s="238">
        <f t="shared" si="33"/>
        <v>0</v>
      </c>
      <c r="I70" s="238">
        <f t="shared" si="33"/>
        <v>2980400000</v>
      </c>
      <c r="J70" s="238">
        <f t="shared" si="33"/>
        <v>0</v>
      </c>
      <c r="K70" s="238">
        <f t="shared" si="33"/>
        <v>0</v>
      </c>
      <c r="L70" s="238">
        <f t="shared" si="33"/>
        <v>253700000</v>
      </c>
      <c r="M70" s="236">
        <f t="shared" si="6"/>
        <v>3215315194</v>
      </c>
      <c r="N70" s="237">
        <f aca="true" t="shared" si="34" ref="N70:U70">SUM(N71:N73)</f>
        <v>0</v>
      </c>
      <c r="O70" s="238">
        <f t="shared" si="34"/>
        <v>0</v>
      </c>
      <c r="P70" s="238">
        <f t="shared" si="34"/>
        <v>29953644</v>
      </c>
      <c r="Q70" s="238">
        <f t="shared" si="34"/>
        <v>0</v>
      </c>
      <c r="R70" s="238">
        <f t="shared" si="34"/>
        <v>2915611221</v>
      </c>
      <c r="S70" s="238">
        <f t="shared" si="34"/>
        <v>0</v>
      </c>
      <c r="T70" s="238">
        <f t="shared" si="34"/>
        <v>0</v>
      </c>
      <c r="U70" s="238">
        <f t="shared" si="34"/>
        <v>269750329</v>
      </c>
    </row>
    <row r="71" spans="1:21" s="11" customFormat="1" ht="18.75" thickBot="1">
      <c r="A71" s="394"/>
      <c r="B71" s="6" t="s">
        <v>116</v>
      </c>
      <c r="C71" s="9" t="s">
        <v>39</v>
      </c>
      <c r="D71" s="7">
        <f t="shared" si="3"/>
        <v>2884800000</v>
      </c>
      <c r="E71" s="240">
        <f>'5.13. Támogatások'!F10</f>
        <v>0</v>
      </c>
      <c r="F71" s="241">
        <f>'5.13. Támogatások'!G10</f>
        <v>0</v>
      </c>
      <c r="G71" s="241">
        <f>'5.13. Támogatások'!H10</f>
        <v>0</v>
      </c>
      <c r="H71" s="241">
        <f>'5.13. Támogatások'!I10</f>
        <v>0</v>
      </c>
      <c r="I71" s="241">
        <f>'5.13. Támogatások'!J10</f>
        <v>2709800000</v>
      </c>
      <c r="J71" s="241">
        <f>'5.13. Támogatások'!K10</f>
        <v>0</v>
      </c>
      <c r="K71" s="241">
        <f>'5.13. Támogatások'!L10</f>
        <v>0</v>
      </c>
      <c r="L71" s="241">
        <f>'5.13. Támogatások'!M10</f>
        <v>175000000</v>
      </c>
      <c r="M71" s="7">
        <f t="shared" si="6"/>
        <v>2919340000</v>
      </c>
      <c r="N71" s="240">
        <f>'5.13. Támogatások'!O10</f>
        <v>0</v>
      </c>
      <c r="O71" s="241">
        <f>'5.13. Támogatások'!P10</f>
        <v>0</v>
      </c>
      <c r="P71" s="241">
        <f>'5.13. Támogatások'!Q10</f>
        <v>0</v>
      </c>
      <c r="Q71" s="241">
        <f>'5.13. Támogatások'!R10</f>
        <v>0</v>
      </c>
      <c r="R71" s="241">
        <f>'5.13. Támogatások'!S10</f>
        <v>2729489671</v>
      </c>
      <c r="S71" s="241">
        <f>'5.13. Támogatások'!T10</f>
        <v>0</v>
      </c>
      <c r="T71" s="241">
        <f>'5.13. Támogatások'!U10</f>
        <v>0</v>
      </c>
      <c r="U71" s="241">
        <f>'5.13. Támogatások'!V10</f>
        <v>189850329</v>
      </c>
    </row>
    <row r="72" spans="1:21" s="11" customFormat="1" ht="18.75" thickBot="1">
      <c r="A72" s="394"/>
      <c r="B72" s="6" t="s">
        <v>117</v>
      </c>
      <c r="C72" s="9" t="s">
        <v>41</v>
      </c>
      <c r="D72" s="7">
        <f t="shared" si="3"/>
        <v>379253644</v>
      </c>
      <c r="E72" s="243">
        <f>'5.13. Támogatások'!F25</f>
        <v>0</v>
      </c>
      <c r="F72" s="244">
        <f>'5.13. Támogatások'!G25</f>
        <v>0</v>
      </c>
      <c r="G72" s="244">
        <f>'5.13. Támogatások'!H25</f>
        <v>29953644</v>
      </c>
      <c r="H72" s="244">
        <f>'5.13. Támogatások'!I25</f>
        <v>0</v>
      </c>
      <c r="I72" s="244">
        <f>'5.13. Támogatások'!J25</f>
        <v>270600000</v>
      </c>
      <c r="J72" s="244">
        <f>'5.13. Támogatások'!K25</f>
        <v>0</v>
      </c>
      <c r="K72" s="244">
        <f>'5.13. Támogatások'!L25</f>
        <v>0</v>
      </c>
      <c r="L72" s="244">
        <f>'5.13. Támogatások'!M25</f>
        <v>78700000</v>
      </c>
      <c r="M72" s="7">
        <f t="shared" si="6"/>
        <v>295975194</v>
      </c>
      <c r="N72" s="243">
        <f>'5.13. Támogatások'!O25</f>
        <v>0</v>
      </c>
      <c r="O72" s="244">
        <f>'5.13. Támogatások'!P25</f>
        <v>0</v>
      </c>
      <c r="P72" s="244">
        <f>'5.13. Támogatások'!Q25</f>
        <v>29953644</v>
      </c>
      <c r="Q72" s="244">
        <f>'5.13. Támogatások'!R25</f>
        <v>0</v>
      </c>
      <c r="R72" s="244">
        <f>'5.13. Támogatások'!S25</f>
        <v>186121550</v>
      </c>
      <c r="S72" s="244">
        <f>'5.13. Támogatások'!T25</f>
        <v>0</v>
      </c>
      <c r="T72" s="244">
        <f>'5.13. Támogatások'!U25</f>
        <v>0</v>
      </c>
      <c r="U72" s="244">
        <f>'5.13. Támogatások'!V25</f>
        <v>79900000</v>
      </c>
    </row>
    <row r="73" spans="1:21" s="11" customFormat="1" ht="18.75" thickBot="1">
      <c r="A73" s="394"/>
      <c r="B73" s="6" t="s">
        <v>118</v>
      </c>
      <c r="C73" s="250" t="s">
        <v>43</v>
      </c>
      <c r="D73" s="251">
        <f t="shared" si="3"/>
        <v>0</v>
      </c>
      <c r="E73" s="247">
        <f>'5.13. Támogatások'!F51</f>
        <v>0</v>
      </c>
      <c r="F73" s="248">
        <f>'5.13. Támogatások'!G51</f>
        <v>0</v>
      </c>
      <c r="G73" s="248">
        <f>'5.13. Támogatások'!H51</f>
        <v>0</v>
      </c>
      <c r="H73" s="248">
        <f>'5.13. Támogatások'!I51</f>
        <v>0</v>
      </c>
      <c r="I73" s="248">
        <f>'5.13. Támogatások'!J51</f>
        <v>0</v>
      </c>
      <c r="J73" s="248">
        <f>'5.13. Támogatások'!K51</f>
        <v>0</v>
      </c>
      <c r="K73" s="248">
        <f>'5.13. Támogatások'!L51</f>
        <v>0</v>
      </c>
      <c r="L73" s="248">
        <f>'5.13. Támogatások'!M51</f>
        <v>0</v>
      </c>
      <c r="M73" s="251">
        <f t="shared" si="6"/>
        <v>0</v>
      </c>
      <c r="N73" s="247">
        <f>'5.13. Támogatások'!O51</f>
        <v>0</v>
      </c>
      <c r="O73" s="248">
        <f>'5.13. Támogatások'!P51</f>
        <v>0</v>
      </c>
      <c r="P73" s="248">
        <f>'5.13. Támogatások'!Q51</f>
        <v>0</v>
      </c>
      <c r="Q73" s="248">
        <f>'5.13. Támogatások'!R51</f>
        <v>0</v>
      </c>
      <c r="R73" s="248">
        <f>'5.13. Támogatások'!S51</f>
        <v>0</v>
      </c>
      <c r="S73" s="248">
        <f>'5.13. Támogatások'!T51</f>
        <v>0</v>
      </c>
      <c r="T73" s="248">
        <f>'5.13. Támogatások'!U51</f>
        <v>0</v>
      </c>
      <c r="U73" s="248">
        <f>'5.13. Támogatások'!V51</f>
        <v>0</v>
      </c>
    </row>
    <row r="74" spans="1:21" s="11" customFormat="1" ht="18" customHeight="1">
      <c r="A74" s="235" t="s">
        <v>119</v>
      </c>
      <c r="B74" s="393" t="s">
        <v>120</v>
      </c>
      <c r="C74" s="393"/>
      <c r="D74" s="236">
        <f t="shared" si="3"/>
        <v>72113181</v>
      </c>
      <c r="E74" s="237">
        <f aca="true" t="shared" si="35" ref="E74:L74">SUM(E75:E77)</f>
        <v>0</v>
      </c>
      <c r="F74" s="238">
        <f t="shared" si="35"/>
        <v>0</v>
      </c>
      <c r="G74" s="238">
        <f t="shared" si="35"/>
        <v>71128296</v>
      </c>
      <c r="H74" s="238">
        <f t="shared" si="35"/>
        <v>0</v>
      </c>
      <c r="I74" s="238">
        <f t="shared" si="35"/>
        <v>0</v>
      </c>
      <c r="J74" s="238">
        <f t="shared" si="35"/>
        <v>984885</v>
      </c>
      <c r="K74" s="238">
        <f t="shared" si="35"/>
        <v>0</v>
      </c>
      <c r="L74" s="238">
        <f t="shared" si="35"/>
        <v>0</v>
      </c>
      <c r="M74" s="236">
        <f t="shared" si="6"/>
        <v>87264904</v>
      </c>
      <c r="N74" s="237">
        <f aca="true" t="shared" si="36" ref="N74:U74">SUM(N75:N77)</f>
        <v>0</v>
      </c>
      <c r="O74" s="238">
        <f t="shared" si="36"/>
        <v>0</v>
      </c>
      <c r="P74" s="238">
        <f t="shared" si="36"/>
        <v>71280019</v>
      </c>
      <c r="Q74" s="238">
        <f t="shared" si="36"/>
        <v>0</v>
      </c>
      <c r="R74" s="238">
        <f t="shared" si="36"/>
        <v>0</v>
      </c>
      <c r="S74" s="238">
        <f t="shared" si="36"/>
        <v>15984885</v>
      </c>
      <c r="T74" s="238">
        <f t="shared" si="36"/>
        <v>0</v>
      </c>
      <c r="U74" s="238">
        <f t="shared" si="36"/>
        <v>0</v>
      </c>
    </row>
    <row r="75" spans="1:21" s="11" customFormat="1" ht="18.75" thickBot="1">
      <c r="A75" s="394"/>
      <c r="B75" s="6" t="s">
        <v>121</v>
      </c>
      <c r="C75" s="9" t="s">
        <v>39</v>
      </c>
      <c r="D75" s="7">
        <f t="shared" si="3"/>
        <v>72113181</v>
      </c>
      <c r="E75" s="240">
        <v>0</v>
      </c>
      <c r="F75" s="241">
        <v>0</v>
      </c>
      <c r="G75" s="241">
        <f>63803364+7324932</f>
        <v>71128296</v>
      </c>
      <c r="H75" s="241">
        <v>0</v>
      </c>
      <c r="I75" s="241">
        <v>0</v>
      </c>
      <c r="J75" s="241">
        <v>984885</v>
      </c>
      <c r="K75" s="241">
        <v>0</v>
      </c>
      <c r="L75" s="242">
        <v>0</v>
      </c>
      <c r="M75" s="7">
        <f t="shared" si="6"/>
        <v>87264904</v>
      </c>
      <c r="N75" s="240">
        <v>0</v>
      </c>
      <c r="O75" s="241">
        <v>0</v>
      </c>
      <c r="P75" s="241">
        <v>71280019</v>
      </c>
      <c r="Q75" s="241">
        <v>0</v>
      </c>
      <c r="R75" s="241">
        <v>0</v>
      </c>
      <c r="S75" s="241">
        <v>15984885</v>
      </c>
      <c r="T75" s="241">
        <v>0</v>
      </c>
      <c r="U75" s="242">
        <v>0</v>
      </c>
    </row>
    <row r="76" spans="1:21" s="11" customFormat="1" ht="18.75" thickBot="1">
      <c r="A76" s="394"/>
      <c r="B76" s="6" t="s">
        <v>122</v>
      </c>
      <c r="C76" s="9" t="s">
        <v>41</v>
      </c>
      <c r="D76" s="7">
        <f aca="true" t="shared" si="37" ref="D76:D125">SUM(E76:L76)</f>
        <v>0</v>
      </c>
      <c r="E76" s="243">
        <v>0</v>
      </c>
      <c r="F76" s="244">
        <v>0</v>
      </c>
      <c r="G76" s="244">
        <v>0</v>
      </c>
      <c r="H76" s="244">
        <v>0</v>
      </c>
      <c r="I76" s="244">
        <v>0</v>
      </c>
      <c r="J76" s="244">
        <v>0</v>
      </c>
      <c r="K76" s="244">
        <v>0</v>
      </c>
      <c r="L76" s="245">
        <v>0</v>
      </c>
      <c r="M76" s="7">
        <f t="shared" si="6"/>
        <v>0</v>
      </c>
      <c r="N76" s="243">
        <v>0</v>
      </c>
      <c r="O76" s="244">
        <v>0</v>
      </c>
      <c r="P76" s="244">
        <v>0</v>
      </c>
      <c r="Q76" s="244">
        <v>0</v>
      </c>
      <c r="R76" s="244">
        <v>0</v>
      </c>
      <c r="S76" s="244">
        <v>0</v>
      </c>
      <c r="T76" s="244">
        <v>0</v>
      </c>
      <c r="U76" s="245">
        <v>0</v>
      </c>
    </row>
    <row r="77" spans="1:21" s="11" customFormat="1" ht="18.75" thickBot="1">
      <c r="A77" s="394"/>
      <c r="B77" s="6" t="s">
        <v>123</v>
      </c>
      <c r="C77" s="250" t="s">
        <v>43</v>
      </c>
      <c r="D77" s="251">
        <f t="shared" si="37"/>
        <v>0</v>
      </c>
      <c r="E77" s="247">
        <v>0</v>
      </c>
      <c r="F77" s="248">
        <v>0</v>
      </c>
      <c r="G77" s="248">
        <v>0</v>
      </c>
      <c r="H77" s="248">
        <v>0</v>
      </c>
      <c r="I77" s="248">
        <v>0</v>
      </c>
      <c r="J77" s="248">
        <v>0</v>
      </c>
      <c r="K77" s="248">
        <v>0</v>
      </c>
      <c r="L77" s="249">
        <v>0</v>
      </c>
      <c r="M77" s="251">
        <f t="shared" si="6"/>
        <v>0</v>
      </c>
      <c r="N77" s="247">
        <v>0</v>
      </c>
      <c r="O77" s="248">
        <v>0</v>
      </c>
      <c r="P77" s="248">
        <v>0</v>
      </c>
      <c r="Q77" s="248">
        <v>0</v>
      </c>
      <c r="R77" s="248">
        <v>0</v>
      </c>
      <c r="S77" s="248">
        <v>0</v>
      </c>
      <c r="T77" s="248">
        <v>0</v>
      </c>
      <c r="U77" s="249">
        <v>0</v>
      </c>
    </row>
    <row r="78" spans="1:21" s="11" customFormat="1" ht="27.75" customHeight="1">
      <c r="A78" s="235" t="s">
        <v>124</v>
      </c>
      <c r="B78" s="393" t="s">
        <v>125</v>
      </c>
      <c r="C78" s="393"/>
      <c r="D78" s="236">
        <f t="shared" si="37"/>
        <v>37900000</v>
      </c>
      <c r="E78" s="237">
        <f aca="true" t="shared" si="38" ref="E78:L78">SUM(E79:E81)</f>
        <v>0</v>
      </c>
      <c r="F78" s="238">
        <f t="shared" si="38"/>
        <v>0</v>
      </c>
      <c r="G78" s="238">
        <f t="shared" si="38"/>
        <v>0</v>
      </c>
      <c r="H78" s="238">
        <f t="shared" si="38"/>
        <v>0</v>
      </c>
      <c r="I78" s="238">
        <f t="shared" si="38"/>
        <v>37900000</v>
      </c>
      <c r="J78" s="238">
        <f t="shared" si="38"/>
        <v>0</v>
      </c>
      <c r="K78" s="238">
        <f t="shared" si="38"/>
        <v>0</v>
      </c>
      <c r="L78" s="238">
        <f t="shared" si="38"/>
        <v>0</v>
      </c>
      <c r="M78" s="236">
        <f t="shared" si="6"/>
        <v>17900000</v>
      </c>
      <c r="N78" s="237">
        <f aca="true" t="shared" si="39" ref="N78:U78">SUM(N79:N81)</f>
        <v>0</v>
      </c>
      <c r="O78" s="238">
        <f t="shared" si="39"/>
        <v>0</v>
      </c>
      <c r="P78" s="238">
        <f t="shared" si="39"/>
        <v>0</v>
      </c>
      <c r="Q78" s="238">
        <f t="shared" si="39"/>
        <v>0</v>
      </c>
      <c r="R78" s="238">
        <f t="shared" si="39"/>
        <v>17900000</v>
      </c>
      <c r="S78" s="238">
        <f t="shared" si="39"/>
        <v>0</v>
      </c>
      <c r="T78" s="238">
        <f t="shared" si="39"/>
        <v>0</v>
      </c>
      <c r="U78" s="238">
        <f t="shared" si="39"/>
        <v>0</v>
      </c>
    </row>
    <row r="79" spans="1:21" s="11" customFormat="1" ht="18.75" thickBot="1">
      <c r="A79" s="394"/>
      <c r="B79" s="6" t="s">
        <v>126</v>
      </c>
      <c r="C79" s="9" t="s">
        <v>39</v>
      </c>
      <c r="D79" s="7">
        <f t="shared" si="37"/>
        <v>37900000</v>
      </c>
      <c r="E79" s="240">
        <v>0</v>
      </c>
      <c r="F79" s="241">
        <v>0</v>
      </c>
      <c r="G79" s="241">
        <v>0</v>
      </c>
      <c r="H79" s="241">
        <v>0</v>
      </c>
      <c r="I79" s="241">
        <v>37900000</v>
      </c>
      <c r="J79" s="241">
        <v>0</v>
      </c>
      <c r="K79" s="241">
        <v>0</v>
      </c>
      <c r="L79" s="242">
        <v>0</v>
      </c>
      <c r="M79" s="7">
        <f t="shared" si="6"/>
        <v>17900000</v>
      </c>
      <c r="N79" s="240">
        <v>0</v>
      </c>
      <c r="O79" s="241">
        <v>0</v>
      </c>
      <c r="P79" s="241">
        <v>0</v>
      </c>
      <c r="Q79" s="241">
        <v>0</v>
      </c>
      <c r="R79" s="241">
        <v>17900000</v>
      </c>
      <c r="S79" s="241">
        <v>0</v>
      </c>
      <c r="T79" s="241">
        <v>0</v>
      </c>
      <c r="U79" s="242">
        <v>0</v>
      </c>
    </row>
    <row r="80" spans="1:21" s="11" customFormat="1" ht="18.75" thickBot="1">
      <c r="A80" s="394"/>
      <c r="B80" s="6" t="s">
        <v>127</v>
      </c>
      <c r="C80" s="9" t="s">
        <v>41</v>
      </c>
      <c r="D80" s="7">
        <f t="shared" si="37"/>
        <v>0</v>
      </c>
      <c r="E80" s="243">
        <v>0</v>
      </c>
      <c r="F80" s="244">
        <v>0</v>
      </c>
      <c r="G80" s="244">
        <v>0</v>
      </c>
      <c r="H80" s="244">
        <v>0</v>
      </c>
      <c r="I80" s="244">
        <v>0</v>
      </c>
      <c r="J80" s="244">
        <v>0</v>
      </c>
      <c r="K80" s="244">
        <v>0</v>
      </c>
      <c r="L80" s="245">
        <v>0</v>
      </c>
      <c r="M80" s="7">
        <f aca="true" t="shared" si="40" ref="M80:M117">SUM(N80:U80)</f>
        <v>0</v>
      </c>
      <c r="N80" s="243">
        <v>0</v>
      </c>
      <c r="O80" s="244">
        <v>0</v>
      </c>
      <c r="P80" s="244">
        <v>0</v>
      </c>
      <c r="Q80" s="244">
        <v>0</v>
      </c>
      <c r="R80" s="244">
        <v>0</v>
      </c>
      <c r="S80" s="244">
        <v>0</v>
      </c>
      <c r="T80" s="244">
        <v>0</v>
      </c>
      <c r="U80" s="245">
        <v>0</v>
      </c>
    </row>
    <row r="81" spans="1:21" s="11" customFormat="1" ht="18.75" thickBot="1">
      <c r="A81" s="394"/>
      <c r="B81" s="6" t="s">
        <v>128</v>
      </c>
      <c r="C81" s="250" t="s">
        <v>43</v>
      </c>
      <c r="D81" s="251">
        <f t="shared" si="37"/>
        <v>0</v>
      </c>
      <c r="E81" s="247">
        <v>0</v>
      </c>
      <c r="F81" s="248">
        <v>0</v>
      </c>
      <c r="G81" s="248">
        <v>0</v>
      </c>
      <c r="H81" s="248">
        <v>0</v>
      </c>
      <c r="I81" s="248">
        <v>0</v>
      </c>
      <c r="J81" s="248">
        <v>0</v>
      </c>
      <c r="K81" s="248">
        <v>0</v>
      </c>
      <c r="L81" s="249">
        <v>0</v>
      </c>
      <c r="M81" s="251">
        <f t="shared" si="40"/>
        <v>0</v>
      </c>
      <c r="N81" s="247">
        <v>0</v>
      </c>
      <c r="O81" s="248">
        <v>0</v>
      </c>
      <c r="P81" s="248">
        <v>0</v>
      </c>
      <c r="Q81" s="248">
        <v>0</v>
      </c>
      <c r="R81" s="248">
        <v>0</v>
      </c>
      <c r="S81" s="248">
        <v>0</v>
      </c>
      <c r="T81" s="248">
        <v>0</v>
      </c>
      <c r="U81" s="249">
        <v>0</v>
      </c>
    </row>
    <row r="82" spans="1:21" s="11" customFormat="1" ht="18" customHeight="1">
      <c r="A82" s="235" t="s">
        <v>129</v>
      </c>
      <c r="B82" s="393" t="s">
        <v>130</v>
      </c>
      <c r="C82" s="393"/>
      <c r="D82" s="236">
        <f t="shared" si="37"/>
        <v>70363344</v>
      </c>
      <c r="E82" s="237">
        <f aca="true" t="shared" si="41" ref="E82:L82">SUM(E83:E85)</f>
        <v>2000000</v>
      </c>
      <c r="F82" s="238">
        <f t="shared" si="41"/>
        <v>1105207</v>
      </c>
      <c r="G82" s="238">
        <f t="shared" si="41"/>
        <v>67258137</v>
      </c>
      <c r="H82" s="238">
        <f t="shared" si="41"/>
        <v>0</v>
      </c>
      <c r="I82" s="238">
        <f t="shared" si="41"/>
        <v>0</v>
      </c>
      <c r="J82" s="238">
        <f t="shared" si="41"/>
        <v>0</v>
      </c>
      <c r="K82" s="238">
        <f t="shared" si="41"/>
        <v>0</v>
      </c>
      <c r="L82" s="238">
        <f t="shared" si="41"/>
        <v>0</v>
      </c>
      <c r="M82" s="236">
        <f t="shared" si="40"/>
        <v>70363344</v>
      </c>
      <c r="N82" s="237">
        <f aca="true" t="shared" si="42" ref="N82:U82">SUM(N83:N85)</f>
        <v>0</v>
      </c>
      <c r="O82" s="238">
        <f t="shared" si="42"/>
        <v>605207</v>
      </c>
      <c r="P82" s="238">
        <f t="shared" si="42"/>
        <v>19758137</v>
      </c>
      <c r="Q82" s="238">
        <f t="shared" si="42"/>
        <v>0</v>
      </c>
      <c r="R82" s="238">
        <f t="shared" si="42"/>
        <v>43000000</v>
      </c>
      <c r="S82" s="238">
        <f t="shared" si="42"/>
        <v>0</v>
      </c>
      <c r="T82" s="238">
        <f t="shared" si="42"/>
        <v>0</v>
      </c>
      <c r="U82" s="238">
        <f t="shared" si="42"/>
        <v>7000000</v>
      </c>
    </row>
    <row r="83" spans="1:21" s="11" customFormat="1" ht="18.75" thickBot="1">
      <c r="A83" s="394"/>
      <c r="B83" s="6" t="s">
        <v>131</v>
      </c>
      <c r="C83" s="9" t="s">
        <v>39</v>
      </c>
      <c r="D83" s="7">
        <f t="shared" si="37"/>
        <v>70363344</v>
      </c>
      <c r="E83" s="240">
        <v>2000000</v>
      </c>
      <c r="F83" s="241">
        <v>1105207</v>
      </c>
      <c r="G83" s="241">
        <v>67258137</v>
      </c>
      <c r="H83" s="241">
        <v>0</v>
      </c>
      <c r="I83" s="241">
        <v>0</v>
      </c>
      <c r="J83" s="241">
        <v>0</v>
      </c>
      <c r="K83" s="241">
        <v>0</v>
      </c>
      <c r="L83" s="241">
        <v>0</v>
      </c>
      <c r="M83" s="7">
        <f t="shared" si="40"/>
        <v>70363344</v>
      </c>
      <c r="N83" s="240">
        <v>0</v>
      </c>
      <c r="O83" s="241">
        <v>605207</v>
      </c>
      <c r="P83" s="241">
        <v>19758137</v>
      </c>
      <c r="Q83" s="241">
        <v>0</v>
      </c>
      <c r="R83" s="241">
        <v>43000000</v>
      </c>
      <c r="S83" s="241">
        <v>0</v>
      </c>
      <c r="T83" s="241">
        <v>0</v>
      </c>
      <c r="U83" s="241">
        <v>7000000</v>
      </c>
    </row>
    <row r="84" spans="1:21" s="11" customFormat="1" ht="18.75" thickBot="1">
      <c r="A84" s="394"/>
      <c r="B84" s="6" t="s">
        <v>132</v>
      </c>
      <c r="C84" s="9" t="s">
        <v>41</v>
      </c>
      <c r="D84" s="7">
        <f t="shared" si="37"/>
        <v>0</v>
      </c>
      <c r="E84" s="243">
        <v>0</v>
      </c>
      <c r="F84" s="244">
        <v>0</v>
      </c>
      <c r="G84" s="244">
        <v>0</v>
      </c>
      <c r="H84" s="244">
        <v>0</v>
      </c>
      <c r="I84" s="244">
        <v>0</v>
      </c>
      <c r="J84" s="244">
        <v>0</v>
      </c>
      <c r="K84" s="244">
        <v>0</v>
      </c>
      <c r="L84" s="244">
        <v>0</v>
      </c>
      <c r="M84" s="7">
        <f t="shared" si="40"/>
        <v>0</v>
      </c>
      <c r="N84" s="243">
        <v>0</v>
      </c>
      <c r="O84" s="244">
        <v>0</v>
      </c>
      <c r="P84" s="244">
        <v>0</v>
      </c>
      <c r="Q84" s="244">
        <v>0</v>
      </c>
      <c r="R84" s="244">
        <v>0</v>
      </c>
      <c r="S84" s="244">
        <v>0</v>
      </c>
      <c r="T84" s="244">
        <v>0</v>
      </c>
      <c r="U84" s="244">
        <v>0</v>
      </c>
    </row>
    <row r="85" spans="1:21" s="11" customFormat="1" ht="18.75" thickBot="1">
      <c r="A85" s="394"/>
      <c r="B85" s="6" t="s">
        <v>133</v>
      </c>
      <c r="C85" s="239" t="s">
        <v>43</v>
      </c>
      <c r="D85" s="251">
        <f t="shared" si="37"/>
        <v>0</v>
      </c>
      <c r="E85" s="247">
        <v>0</v>
      </c>
      <c r="F85" s="248">
        <v>0</v>
      </c>
      <c r="G85" s="248">
        <v>0</v>
      </c>
      <c r="H85" s="248">
        <v>0</v>
      </c>
      <c r="I85" s="248">
        <v>0</v>
      </c>
      <c r="J85" s="248">
        <v>0</v>
      </c>
      <c r="K85" s="248">
        <v>0</v>
      </c>
      <c r="L85" s="248">
        <v>0</v>
      </c>
      <c r="M85" s="251">
        <f t="shared" si="40"/>
        <v>0</v>
      </c>
      <c r="N85" s="247">
        <v>0</v>
      </c>
      <c r="O85" s="248">
        <v>0</v>
      </c>
      <c r="P85" s="248">
        <v>0</v>
      </c>
      <c r="Q85" s="248">
        <v>0</v>
      </c>
      <c r="R85" s="248">
        <v>0</v>
      </c>
      <c r="S85" s="248">
        <v>0</v>
      </c>
      <c r="T85" s="248">
        <v>0</v>
      </c>
      <c r="U85" s="248">
        <v>0</v>
      </c>
    </row>
    <row r="86" spans="1:21" s="11" customFormat="1" ht="18" customHeight="1">
      <c r="A86" s="235" t="s">
        <v>134</v>
      </c>
      <c r="B86" s="393" t="s">
        <v>135</v>
      </c>
      <c r="C86" s="393"/>
      <c r="D86" s="236">
        <f t="shared" si="37"/>
        <v>450000000</v>
      </c>
      <c r="E86" s="237">
        <f aca="true" t="shared" si="43" ref="E86:L86">SUM(E87:E89)</f>
        <v>0</v>
      </c>
      <c r="F86" s="238">
        <f t="shared" si="43"/>
        <v>0</v>
      </c>
      <c r="G86" s="238">
        <f t="shared" si="43"/>
        <v>0</v>
      </c>
      <c r="H86" s="238">
        <f t="shared" si="43"/>
        <v>0</v>
      </c>
      <c r="I86" s="238">
        <f t="shared" si="43"/>
        <v>47288000</v>
      </c>
      <c r="J86" s="238">
        <f t="shared" si="43"/>
        <v>0</v>
      </c>
      <c r="K86" s="238">
        <f t="shared" si="43"/>
        <v>0</v>
      </c>
      <c r="L86" s="238">
        <f t="shared" si="43"/>
        <v>402712000</v>
      </c>
      <c r="M86" s="236">
        <f t="shared" si="40"/>
        <v>426712000</v>
      </c>
      <c r="N86" s="237">
        <f aca="true" t="shared" si="44" ref="N86:U86">SUM(N87:N89)</f>
        <v>0</v>
      </c>
      <c r="O86" s="238">
        <f t="shared" si="44"/>
        <v>0</v>
      </c>
      <c r="P86" s="238">
        <f t="shared" si="44"/>
        <v>0</v>
      </c>
      <c r="Q86" s="238">
        <f t="shared" si="44"/>
        <v>0</v>
      </c>
      <c r="R86" s="238">
        <f t="shared" si="44"/>
        <v>374000000</v>
      </c>
      <c r="S86" s="238">
        <f t="shared" si="44"/>
        <v>0</v>
      </c>
      <c r="T86" s="238">
        <f t="shared" si="44"/>
        <v>0</v>
      </c>
      <c r="U86" s="238">
        <f t="shared" si="44"/>
        <v>52712000</v>
      </c>
    </row>
    <row r="87" spans="1:21" s="11" customFormat="1" ht="18.75" thickBot="1">
      <c r="A87" s="394"/>
      <c r="B87" s="6" t="s">
        <v>136</v>
      </c>
      <c r="C87" s="9" t="s">
        <v>39</v>
      </c>
      <c r="D87" s="7">
        <f t="shared" si="37"/>
        <v>450000000</v>
      </c>
      <c r="E87" s="240">
        <v>0</v>
      </c>
      <c r="F87" s="241">
        <v>0</v>
      </c>
      <c r="G87" s="241">
        <v>0</v>
      </c>
      <c r="H87" s="241">
        <v>0</v>
      </c>
      <c r="I87" s="241">
        <v>47288000</v>
      </c>
      <c r="J87" s="241">
        <v>0</v>
      </c>
      <c r="K87" s="241">
        <v>0</v>
      </c>
      <c r="L87" s="241">
        <v>402712000</v>
      </c>
      <c r="M87" s="7">
        <f t="shared" si="40"/>
        <v>426712000</v>
      </c>
      <c r="N87" s="240">
        <v>0</v>
      </c>
      <c r="O87" s="241">
        <v>0</v>
      </c>
      <c r="P87" s="241">
        <v>0</v>
      </c>
      <c r="Q87" s="241">
        <v>0</v>
      </c>
      <c r="R87" s="241">
        <v>374000000</v>
      </c>
      <c r="S87" s="241">
        <v>0</v>
      </c>
      <c r="T87" s="241">
        <v>0</v>
      </c>
      <c r="U87" s="241">
        <v>52712000</v>
      </c>
    </row>
    <row r="88" spans="1:21" s="11" customFormat="1" ht="18.75" thickBot="1">
      <c r="A88" s="394"/>
      <c r="B88" s="6" t="s">
        <v>137</v>
      </c>
      <c r="C88" s="9" t="s">
        <v>41</v>
      </c>
      <c r="D88" s="7">
        <f t="shared" si="37"/>
        <v>0</v>
      </c>
      <c r="E88" s="243">
        <v>0</v>
      </c>
      <c r="F88" s="244">
        <v>0</v>
      </c>
      <c r="G88" s="244">
        <v>0</v>
      </c>
      <c r="H88" s="244">
        <v>0</v>
      </c>
      <c r="I88" s="244">
        <v>0</v>
      </c>
      <c r="J88" s="244">
        <v>0</v>
      </c>
      <c r="K88" s="244">
        <v>0</v>
      </c>
      <c r="L88" s="244">
        <v>0</v>
      </c>
      <c r="M88" s="7">
        <f t="shared" si="40"/>
        <v>0</v>
      </c>
      <c r="N88" s="243">
        <v>0</v>
      </c>
      <c r="O88" s="244">
        <v>0</v>
      </c>
      <c r="P88" s="244">
        <v>0</v>
      </c>
      <c r="Q88" s="244">
        <v>0</v>
      </c>
      <c r="R88" s="244">
        <v>0</v>
      </c>
      <c r="S88" s="244">
        <v>0</v>
      </c>
      <c r="T88" s="244">
        <v>0</v>
      </c>
      <c r="U88" s="244">
        <v>0</v>
      </c>
    </row>
    <row r="89" spans="1:21" s="11" customFormat="1" ht="18.75" thickBot="1">
      <c r="A89" s="394"/>
      <c r="B89" s="6" t="s">
        <v>138</v>
      </c>
      <c r="C89" s="239" t="s">
        <v>43</v>
      </c>
      <c r="D89" s="251">
        <f t="shared" si="37"/>
        <v>0</v>
      </c>
      <c r="E89" s="247">
        <v>0</v>
      </c>
      <c r="F89" s="248">
        <v>0</v>
      </c>
      <c r="G89" s="248">
        <v>0</v>
      </c>
      <c r="H89" s="248">
        <v>0</v>
      </c>
      <c r="I89" s="248">
        <v>0</v>
      </c>
      <c r="J89" s="248">
        <v>0</v>
      </c>
      <c r="K89" s="248">
        <v>0</v>
      </c>
      <c r="L89" s="248">
        <v>0</v>
      </c>
      <c r="M89" s="251">
        <f t="shared" si="40"/>
        <v>0</v>
      </c>
      <c r="N89" s="247">
        <v>0</v>
      </c>
      <c r="O89" s="248">
        <v>0</v>
      </c>
      <c r="P89" s="248">
        <v>0</v>
      </c>
      <c r="Q89" s="248">
        <v>0</v>
      </c>
      <c r="R89" s="248">
        <v>0</v>
      </c>
      <c r="S89" s="248">
        <v>0</v>
      </c>
      <c r="T89" s="248">
        <v>0</v>
      </c>
      <c r="U89" s="248">
        <v>0</v>
      </c>
    </row>
    <row r="90" spans="1:21" s="11" customFormat="1" ht="18" customHeight="1">
      <c r="A90" s="235" t="s">
        <v>139</v>
      </c>
      <c r="B90" s="393" t="s">
        <v>140</v>
      </c>
      <c r="C90" s="393"/>
      <c r="D90" s="236">
        <f t="shared" si="37"/>
        <v>7473969682</v>
      </c>
      <c r="E90" s="237">
        <f aca="true" t="shared" si="45" ref="E90:L90">SUM(E91:E93)</f>
        <v>43157988</v>
      </c>
      <c r="F90" s="238">
        <f t="shared" si="45"/>
        <v>8776927</v>
      </c>
      <c r="G90" s="238">
        <f t="shared" si="45"/>
        <v>3573066084</v>
      </c>
      <c r="H90" s="238">
        <f t="shared" si="45"/>
        <v>0</v>
      </c>
      <c r="I90" s="238">
        <f t="shared" si="45"/>
        <v>3848968683</v>
      </c>
      <c r="J90" s="238">
        <f t="shared" si="45"/>
        <v>0</v>
      </c>
      <c r="K90" s="238">
        <f t="shared" si="45"/>
        <v>0</v>
      </c>
      <c r="L90" s="238">
        <f t="shared" si="45"/>
        <v>0</v>
      </c>
      <c r="M90" s="236">
        <f t="shared" si="40"/>
        <v>7621682927</v>
      </c>
      <c r="N90" s="237">
        <f aca="true" t="shared" si="46" ref="N90:U90">SUM(N91:N93)</f>
        <v>44338936</v>
      </c>
      <c r="O90" s="238">
        <f t="shared" si="46"/>
        <v>9106171</v>
      </c>
      <c r="P90" s="238">
        <f t="shared" si="46"/>
        <v>3580575946</v>
      </c>
      <c r="Q90" s="238">
        <f t="shared" si="46"/>
        <v>0</v>
      </c>
      <c r="R90" s="238">
        <f t="shared" si="46"/>
        <v>3987651874</v>
      </c>
      <c r="S90" s="238">
        <f t="shared" si="46"/>
        <v>10000</v>
      </c>
      <c r="T90" s="238">
        <f t="shared" si="46"/>
        <v>0</v>
      </c>
      <c r="U90" s="238">
        <f t="shared" si="46"/>
        <v>0</v>
      </c>
    </row>
    <row r="91" spans="1:21" s="11" customFormat="1" ht="18.75" thickBot="1">
      <c r="A91" s="394"/>
      <c r="B91" s="6" t="s">
        <v>141</v>
      </c>
      <c r="C91" s="9" t="s">
        <v>39</v>
      </c>
      <c r="D91" s="7">
        <f t="shared" si="37"/>
        <v>7472969682</v>
      </c>
      <c r="E91" s="240">
        <f>'5.14. Egyéb kiadások'!E10</f>
        <v>43157988</v>
      </c>
      <c r="F91" s="241">
        <f>'5.14. Egyéb kiadások'!F10</f>
        <v>8776927</v>
      </c>
      <c r="G91" s="241">
        <f>'5.14. Egyéb kiadások'!G10</f>
        <v>3572066084</v>
      </c>
      <c r="H91" s="241">
        <f>'5.14. Egyéb kiadások'!H10</f>
        <v>0</v>
      </c>
      <c r="I91" s="241">
        <f>'5.14. Egyéb kiadások'!I10</f>
        <v>3848968683</v>
      </c>
      <c r="J91" s="241">
        <f>'5.14. Egyéb kiadások'!J10</f>
        <v>0</v>
      </c>
      <c r="K91" s="241">
        <f>'5.14. Egyéb kiadások'!K10</f>
        <v>0</v>
      </c>
      <c r="L91" s="241">
        <f>'5.14. Egyéb kiadások'!L10</f>
        <v>0</v>
      </c>
      <c r="M91" s="7">
        <f t="shared" si="40"/>
        <v>7621682927</v>
      </c>
      <c r="N91" s="240">
        <f>'5.14. Egyéb kiadások'!N10</f>
        <v>44338936</v>
      </c>
      <c r="O91" s="241">
        <f>'5.14. Egyéb kiadások'!O10</f>
        <v>9106171</v>
      </c>
      <c r="P91" s="241">
        <f>'5.14. Egyéb kiadások'!P10</f>
        <v>3580575946</v>
      </c>
      <c r="Q91" s="241">
        <f>'5.14. Egyéb kiadások'!Q10</f>
        <v>0</v>
      </c>
      <c r="R91" s="241">
        <f>'5.14. Egyéb kiadások'!R10</f>
        <v>3987651874</v>
      </c>
      <c r="S91" s="241">
        <f>'5.14. Egyéb kiadások'!S10</f>
        <v>10000</v>
      </c>
      <c r="T91" s="241">
        <f>'5.14. Egyéb kiadások'!T10</f>
        <v>0</v>
      </c>
      <c r="U91" s="241">
        <f>'5.14. Egyéb kiadások'!U10</f>
        <v>0</v>
      </c>
    </row>
    <row r="92" spans="1:21" s="11" customFormat="1" ht="18.75" thickBot="1">
      <c r="A92" s="394"/>
      <c r="B92" s="6" t="s">
        <v>142</v>
      </c>
      <c r="C92" s="9" t="s">
        <v>41</v>
      </c>
      <c r="D92" s="7">
        <f t="shared" si="37"/>
        <v>0</v>
      </c>
      <c r="E92" s="243">
        <f>'5.14. Egyéb kiadások'!E34</f>
        <v>0</v>
      </c>
      <c r="F92" s="244">
        <f>'5.14. Egyéb kiadások'!F34</f>
        <v>0</v>
      </c>
      <c r="G92" s="244">
        <f>'5.14. Egyéb kiadások'!G34</f>
        <v>0</v>
      </c>
      <c r="H92" s="244">
        <f>'5.14. Egyéb kiadások'!H34</f>
        <v>0</v>
      </c>
      <c r="I92" s="244">
        <f>'5.14. Egyéb kiadások'!I34</f>
        <v>0</v>
      </c>
      <c r="J92" s="244">
        <f>'5.14. Egyéb kiadások'!J34</f>
        <v>0</v>
      </c>
      <c r="K92" s="244">
        <f>'5.14. Egyéb kiadások'!K34</f>
        <v>0</v>
      </c>
      <c r="L92" s="244">
        <f>'5.14. Egyéb kiadások'!L34</f>
        <v>0</v>
      </c>
      <c r="M92" s="7">
        <f t="shared" si="40"/>
        <v>0</v>
      </c>
      <c r="N92" s="243">
        <f>'5.14. Egyéb kiadások'!N34</f>
        <v>0</v>
      </c>
      <c r="O92" s="244">
        <f>'5.14. Egyéb kiadások'!O34</f>
        <v>0</v>
      </c>
      <c r="P92" s="244">
        <f>'5.14. Egyéb kiadások'!P34</f>
        <v>0</v>
      </c>
      <c r="Q92" s="244">
        <f>'5.14. Egyéb kiadások'!Q34</f>
        <v>0</v>
      </c>
      <c r="R92" s="244">
        <f>'5.14. Egyéb kiadások'!R34</f>
        <v>0</v>
      </c>
      <c r="S92" s="244">
        <f>'5.14. Egyéb kiadások'!S34</f>
        <v>0</v>
      </c>
      <c r="T92" s="244">
        <f>'5.14. Egyéb kiadások'!T34</f>
        <v>0</v>
      </c>
      <c r="U92" s="244">
        <f>'5.14. Egyéb kiadások'!U34</f>
        <v>0</v>
      </c>
    </row>
    <row r="93" spans="1:21" s="11" customFormat="1" ht="18.75" thickBot="1">
      <c r="A93" s="394"/>
      <c r="B93" s="6" t="s">
        <v>143</v>
      </c>
      <c r="C93" s="250" t="s">
        <v>43</v>
      </c>
      <c r="D93" s="251">
        <f t="shared" si="37"/>
        <v>1000000</v>
      </c>
      <c r="E93" s="247">
        <f>'5.14. Egyéb kiadások'!E35</f>
        <v>0</v>
      </c>
      <c r="F93" s="248">
        <f>'5.14. Egyéb kiadások'!F35</f>
        <v>0</v>
      </c>
      <c r="G93" s="248">
        <f>'5.14. Egyéb kiadások'!G35</f>
        <v>1000000</v>
      </c>
      <c r="H93" s="248">
        <f>'5.14. Egyéb kiadások'!H35</f>
        <v>0</v>
      </c>
      <c r="I93" s="248">
        <f>'5.14. Egyéb kiadások'!I35</f>
        <v>0</v>
      </c>
      <c r="J93" s="248">
        <f>'5.14. Egyéb kiadások'!J35</f>
        <v>0</v>
      </c>
      <c r="K93" s="248">
        <f>'5.14. Egyéb kiadások'!K35</f>
        <v>0</v>
      </c>
      <c r="L93" s="248">
        <f>'5.14. Egyéb kiadások'!L35</f>
        <v>0</v>
      </c>
      <c r="M93" s="251">
        <f t="shared" si="40"/>
        <v>0</v>
      </c>
      <c r="N93" s="247">
        <f>'5.14. Egyéb kiadások'!N35</f>
        <v>0</v>
      </c>
      <c r="O93" s="248">
        <f>'5.14. Egyéb kiadások'!O35</f>
        <v>0</v>
      </c>
      <c r="P93" s="248">
        <f>'5.14. Egyéb kiadások'!P35</f>
        <v>0</v>
      </c>
      <c r="Q93" s="248">
        <f>'5.14. Egyéb kiadások'!Q35</f>
        <v>0</v>
      </c>
      <c r="R93" s="248">
        <f>'5.14. Egyéb kiadások'!R35</f>
        <v>0</v>
      </c>
      <c r="S93" s="248">
        <f>'5.14. Egyéb kiadások'!S35</f>
        <v>0</v>
      </c>
      <c r="T93" s="248">
        <f>'5.14. Egyéb kiadások'!T35</f>
        <v>0</v>
      </c>
      <c r="U93" s="248">
        <f>'5.14. Egyéb kiadások'!U35</f>
        <v>0</v>
      </c>
    </row>
    <row r="94" spans="1:21" s="11" customFormat="1" ht="18" customHeight="1">
      <c r="A94" s="235" t="s">
        <v>144</v>
      </c>
      <c r="B94" s="393" t="s">
        <v>145</v>
      </c>
      <c r="C94" s="393"/>
      <c r="D94" s="236">
        <f t="shared" si="37"/>
        <v>326318022</v>
      </c>
      <c r="E94" s="237">
        <f aca="true" t="shared" si="47" ref="E94:L94">SUM(E95:E97)</f>
        <v>42852585</v>
      </c>
      <c r="F94" s="238">
        <f t="shared" si="47"/>
        <v>15067317</v>
      </c>
      <c r="G94" s="238">
        <f t="shared" si="47"/>
        <v>215860181</v>
      </c>
      <c r="H94" s="238">
        <f t="shared" si="47"/>
        <v>0</v>
      </c>
      <c r="I94" s="238">
        <f t="shared" si="47"/>
        <v>10000000</v>
      </c>
      <c r="J94" s="238">
        <f t="shared" si="47"/>
        <v>42537939</v>
      </c>
      <c r="K94" s="238">
        <f t="shared" si="47"/>
        <v>0</v>
      </c>
      <c r="L94" s="238">
        <f t="shared" si="47"/>
        <v>0</v>
      </c>
      <c r="M94" s="236">
        <f t="shared" si="40"/>
        <v>286720445</v>
      </c>
      <c r="N94" s="237">
        <f aca="true" t="shared" si="48" ref="N94:U94">SUM(N95:N97)</f>
        <v>25149814</v>
      </c>
      <c r="O94" s="238">
        <f t="shared" si="48"/>
        <v>10656155</v>
      </c>
      <c r="P94" s="238">
        <f t="shared" si="48"/>
        <v>183659386</v>
      </c>
      <c r="Q94" s="238">
        <f t="shared" si="48"/>
        <v>0</v>
      </c>
      <c r="R94" s="238">
        <f t="shared" si="48"/>
        <v>9079200</v>
      </c>
      <c r="S94" s="238">
        <f t="shared" si="48"/>
        <v>58175890</v>
      </c>
      <c r="T94" s="238">
        <f t="shared" si="48"/>
        <v>0</v>
      </c>
      <c r="U94" s="238">
        <f t="shared" si="48"/>
        <v>0</v>
      </c>
    </row>
    <row r="95" spans="1:21" s="11" customFormat="1" ht="18.75" thickBot="1">
      <c r="A95" s="394"/>
      <c r="B95" s="6" t="s">
        <v>146</v>
      </c>
      <c r="C95" s="9" t="s">
        <v>39</v>
      </c>
      <c r="D95" s="7">
        <f t="shared" si="37"/>
        <v>0</v>
      </c>
      <c r="E95" s="240">
        <f>'5.15. Városmarketing'!E10</f>
        <v>0</v>
      </c>
      <c r="F95" s="241">
        <f>'5.15. Városmarketing'!F10</f>
        <v>0</v>
      </c>
      <c r="G95" s="241">
        <f>'5.15. Városmarketing'!G10</f>
        <v>0</v>
      </c>
      <c r="H95" s="241">
        <f>'5.15. Városmarketing'!H10</f>
        <v>0</v>
      </c>
      <c r="I95" s="241">
        <f>'5.15. Városmarketing'!I10</f>
        <v>0</v>
      </c>
      <c r="J95" s="241">
        <f>'5.15. Városmarketing'!J10</f>
        <v>0</v>
      </c>
      <c r="K95" s="241">
        <f>'5.15. Városmarketing'!K10</f>
        <v>0</v>
      </c>
      <c r="L95" s="241">
        <f>'5.15. Városmarketing'!L10</f>
        <v>0</v>
      </c>
      <c r="M95" s="7">
        <f t="shared" si="40"/>
        <v>0</v>
      </c>
      <c r="N95" s="240">
        <f>'5.15. Városmarketing'!N10</f>
        <v>0</v>
      </c>
      <c r="O95" s="241">
        <f>'5.15. Városmarketing'!O10</f>
        <v>0</v>
      </c>
      <c r="P95" s="241">
        <f>'5.15. Városmarketing'!P10</f>
        <v>0</v>
      </c>
      <c r="Q95" s="241">
        <f>'5.15. Városmarketing'!Q10</f>
        <v>0</v>
      </c>
      <c r="R95" s="241">
        <f>'5.15. Városmarketing'!R10</f>
        <v>0</v>
      </c>
      <c r="S95" s="241">
        <f>'5.15. Városmarketing'!S10</f>
        <v>0</v>
      </c>
      <c r="T95" s="241">
        <f>'5.15. Városmarketing'!T10</f>
        <v>0</v>
      </c>
      <c r="U95" s="241">
        <f>'5.15. Városmarketing'!U10</f>
        <v>0</v>
      </c>
    </row>
    <row r="96" spans="1:21" s="11" customFormat="1" ht="18.75" thickBot="1">
      <c r="A96" s="394"/>
      <c r="B96" s="6" t="s">
        <v>147</v>
      </c>
      <c r="C96" s="9" t="s">
        <v>41</v>
      </c>
      <c r="D96" s="7">
        <f t="shared" si="37"/>
        <v>326318022</v>
      </c>
      <c r="E96" s="243">
        <f>'5.15. Városmarketing'!E11</f>
        <v>42852585</v>
      </c>
      <c r="F96" s="244">
        <f>'5.15. Városmarketing'!F11</f>
        <v>15067317</v>
      </c>
      <c r="G96" s="244">
        <f>'5.15. Városmarketing'!G11</f>
        <v>215860181</v>
      </c>
      <c r="H96" s="244">
        <f>'5.15. Városmarketing'!H11</f>
        <v>0</v>
      </c>
      <c r="I96" s="244">
        <f>'5.15. Városmarketing'!I11</f>
        <v>10000000</v>
      </c>
      <c r="J96" s="244">
        <f>'5.15. Városmarketing'!J11</f>
        <v>42537939</v>
      </c>
      <c r="K96" s="244">
        <f>'5.15. Városmarketing'!K11</f>
        <v>0</v>
      </c>
      <c r="L96" s="244">
        <f>'5.15. Városmarketing'!L11</f>
        <v>0</v>
      </c>
      <c r="M96" s="7">
        <f t="shared" si="40"/>
        <v>286720445</v>
      </c>
      <c r="N96" s="243">
        <f>'5.15. Városmarketing'!N11</f>
        <v>25149814</v>
      </c>
      <c r="O96" s="244">
        <f>'5.15. Városmarketing'!O11</f>
        <v>10656155</v>
      </c>
      <c r="P96" s="244">
        <f>'5.15. Városmarketing'!P11</f>
        <v>183659386</v>
      </c>
      <c r="Q96" s="244">
        <f>'5.15. Városmarketing'!Q11</f>
        <v>0</v>
      </c>
      <c r="R96" s="244">
        <f>'5.15. Városmarketing'!R11</f>
        <v>9079200</v>
      </c>
      <c r="S96" s="244">
        <f>'5.15. Városmarketing'!S11</f>
        <v>58175890</v>
      </c>
      <c r="T96" s="244">
        <f>'5.15. Városmarketing'!T11</f>
        <v>0</v>
      </c>
      <c r="U96" s="244">
        <f>'5.15. Városmarketing'!U11</f>
        <v>0</v>
      </c>
    </row>
    <row r="97" spans="1:21" s="11" customFormat="1" ht="18.75" thickBot="1">
      <c r="A97" s="394"/>
      <c r="B97" s="6" t="s">
        <v>148</v>
      </c>
      <c r="C97" s="250" t="s">
        <v>43</v>
      </c>
      <c r="D97" s="251">
        <f t="shared" si="37"/>
        <v>0</v>
      </c>
      <c r="E97" s="247">
        <f>'5.15. Városmarketing'!E23</f>
        <v>0</v>
      </c>
      <c r="F97" s="248">
        <f>'5.15. Városmarketing'!F23</f>
        <v>0</v>
      </c>
      <c r="G97" s="248">
        <f>'5.15. Városmarketing'!G23</f>
        <v>0</v>
      </c>
      <c r="H97" s="248">
        <f>'5.15. Városmarketing'!H23</f>
        <v>0</v>
      </c>
      <c r="I97" s="248">
        <f>'5.15. Városmarketing'!I23</f>
        <v>0</v>
      </c>
      <c r="J97" s="248">
        <f>'5.15. Városmarketing'!J23</f>
        <v>0</v>
      </c>
      <c r="K97" s="248">
        <f>'5.15. Városmarketing'!K23</f>
        <v>0</v>
      </c>
      <c r="L97" s="248">
        <f>'5.15. Városmarketing'!L23</f>
        <v>0</v>
      </c>
      <c r="M97" s="251">
        <f t="shared" si="40"/>
        <v>0</v>
      </c>
      <c r="N97" s="247">
        <f>'5.15. Városmarketing'!N23</f>
        <v>0</v>
      </c>
      <c r="O97" s="248">
        <f>'5.15. Városmarketing'!O23</f>
        <v>0</v>
      </c>
      <c r="P97" s="248">
        <f>'5.15. Városmarketing'!P23</f>
        <v>0</v>
      </c>
      <c r="Q97" s="248">
        <f>'5.15. Városmarketing'!Q23</f>
        <v>0</v>
      </c>
      <c r="R97" s="248">
        <f>'5.15. Városmarketing'!R23</f>
        <v>0</v>
      </c>
      <c r="S97" s="248">
        <f>'5.15. Városmarketing'!S23</f>
        <v>0</v>
      </c>
      <c r="T97" s="248">
        <f>'5.15. Városmarketing'!T23</f>
        <v>0</v>
      </c>
      <c r="U97" s="248">
        <f>'5.15. Városmarketing'!U23</f>
        <v>0</v>
      </c>
    </row>
    <row r="98" spans="1:21" s="11" customFormat="1" ht="18" customHeight="1">
      <c r="A98" s="235" t="s">
        <v>149</v>
      </c>
      <c r="B98" s="393" t="s">
        <v>150</v>
      </c>
      <c r="C98" s="393"/>
      <c r="D98" s="236">
        <f t="shared" si="37"/>
        <v>358679139</v>
      </c>
      <c r="E98" s="237">
        <f aca="true" t="shared" si="49" ref="E98:L98">SUM(E99:E101)</f>
        <v>968181</v>
      </c>
      <c r="F98" s="238">
        <f t="shared" si="49"/>
        <v>222612</v>
      </c>
      <c r="G98" s="238">
        <f t="shared" si="49"/>
        <v>138253598</v>
      </c>
      <c r="H98" s="238">
        <f t="shared" si="49"/>
        <v>0</v>
      </c>
      <c r="I98" s="238">
        <f t="shared" si="49"/>
        <v>219234748</v>
      </c>
      <c r="J98" s="238">
        <f t="shared" si="49"/>
        <v>0</v>
      </c>
      <c r="K98" s="238">
        <f t="shared" si="49"/>
        <v>0</v>
      </c>
      <c r="L98" s="238">
        <f t="shared" si="49"/>
        <v>0</v>
      </c>
      <c r="M98" s="236">
        <f t="shared" si="40"/>
        <v>345351434</v>
      </c>
      <c r="N98" s="237">
        <f aca="true" t="shared" si="50" ref="N98:U98">SUM(N99:N101)</f>
        <v>1582181</v>
      </c>
      <c r="O98" s="238">
        <f t="shared" si="50"/>
        <v>330369</v>
      </c>
      <c r="P98" s="238">
        <f t="shared" si="50"/>
        <v>122413237</v>
      </c>
      <c r="Q98" s="238">
        <f t="shared" si="50"/>
        <v>0</v>
      </c>
      <c r="R98" s="238">
        <f t="shared" si="50"/>
        <v>221025647</v>
      </c>
      <c r="S98" s="238">
        <f t="shared" si="50"/>
        <v>0</v>
      </c>
      <c r="T98" s="238">
        <f t="shared" si="50"/>
        <v>0</v>
      </c>
      <c r="U98" s="238">
        <f t="shared" si="50"/>
        <v>0</v>
      </c>
    </row>
    <row r="99" spans="1:21" s="11" customFormat="1" ht="18.75" thickBot="1">
      <c r="A99" s="394"/>
      <c r="B99" s="6" t="s">
        <v>151</v>
      </c>
      <c r="C99" s="9" t="s">
        <v>39</v>
      </c>
      <c r="D99" s="7">
        <f t="shared" si="37"/>
        <v>358679139</v>
      </c>
      <c r="E99" s="240">
        <f>'5.16. Nemzetközi pályázatok'!E10</f>
        <v>968181</v>
      </c>
      <c r="F99" s="241">
        <f>'5.16. Nemzetközi pályázatok'!F10</f>
        <v>222612</v>
      </c>
      <c r="G99" s="241">
        <f>'5.16. Nemzetközi pályázatok'!G10</f>
        <v>138253598</v>
      </c>
      <c r="H99" s="241">
        <f>'5.16. Nemzetközi pályázatok'!H10</f>
        <v>0</v>
      </c>
      <c r="I99" s="241">
        <f>'5.16. Nemzetközi pályázatok'!I10</f>
        <v>219234748</v>
      </c>
      <c r="J99" s="241">
        <f>'5.16. Nemzetközi pályázatok'!J10</f>
        <v>0</v>
      </c>
      <c r="K99" s="241">
        <f>'5.16. Nemzetközi pályázatok'!K10</f>
        <v>0</v>
      </c>
      <c r="L99" s="241">
        <f>'5.16. Nemzetközi pályázatok'!L10</f>
        <v>0</v>
      </c>
      <c r="M99" s="7">
        <f t="shared" si="40"/>
        <v>345351434</v>
      </c>
      <c r="N99" s="240">
        <f>'5.16. Nemzetközi pályázatok'!N10</f>
        <v>1582181</v>
      </c>
      <c r="O99" s="241">
        <f>'5.16. Nemzetközi pályázatok'!O10</f>
        <v>330369</v>
      </c>
      <c r="P99" s="241">
        <f>'5.16. Nemzetközi pályázatok'!P10</f>
        <v>122413237</v>
      </c>
      <c r="Q99" s="241">
        <f>'5.16. Nemzetközi pályázatok'!Q10</f>
        <v>0</v>
      </c>
      <c r="R99" s="241">
        <f>'5.16. Nemzetközi pályázatok'!R10</f>
        <v>221025647</v>
      </c>
      <c r="S99" s="241">
        <f>'5.16. Nemzetközi pályázatok'!S10</f>
        <v>0</v>
      </c>
      <c r="T99" s="241">
        <f>'5.16. Nemzetközi pályázatok'!T10</f>
        <v>0</v>
      </c>
      <c r="U99" s="241">
        <f>'5.16. Nemzetközi pályázatok'!U10</f>
        <v>0</v>
      </c>
    </row>
    <row r="100" spans="1:21" s="11" customFormat="1" ht="18.75" thickBot="1">
      <c r="A100" s="394"/>
      <c r="B100" s="6" t="s">
        <v>152</v>
      </c>
      <c r="C100" s="9" t="s">
        <v>41</v>
      </c>
      <c r="D100" s="7">
        <f t="shared" si="37"/>
        <v>0</v>
      </c>
      <c r="E100" s="243">
        <f>'5.16. Nemzetközi pályázatok'!E28</f>
        <v>0</v>
      </c>
      <c r="F100" s="244">
        <f>'5.16. Nemzetközi pályázatok'!F28</f>
        <v>0</v>
      </c>
      <c r="G100" s="244">
        <f>'5.16. Nemzetközi pályázatok'!G28</f>
        <v>0</v>
      </c>
      <c r="H100" s="244">
        <f>'5.16. Nemzetközi pályázatok'!H28</f>
        <v>0</v>
      </c>
      <c r="I100" s="244">
        <f>'5.16. Nemzetközi pályázatok'!I28</f>
        <v>0</v>
      </c>
      <c r="J100" s="244">
        <f>'5.16. Nemzetközi pályázatok'!J28</f>
        <v>0</v>
      </c>
      <c r="K100" s="244">
        <f>'5.16. Nemzetközi pályázatok'!K28</f>
        <v>0</v>
      </c>
      <c r="L100" s="244">
        <f>'5.16. Nemzetközi pályázatok'!L28</f>
        <v>0</v>
      </c>
      <c r="M100" s="7">
        <f t="shared" si="40"/>
        <v>0</v>
      </c>
      <c r="N100" s="243">
        <f>'5.16. Nemzetközi pályázatok'!N28</f>
        <v>0</v>
      </c>
      <c r="O100" s="244">
        <f>'5.16. Nemzetközi pályázatok'!O28</f>
        <v>0</v>
      </c>
      <c r="P100" s="244">
        <f>'5.16. Nemzetközi pályázatok'!P28</f>
        <v>0</v>
      </c>
      <c r="Q100" s="244">
        <f>'5.16. Nemzetközi pályázatok'!Q28</f>
        <v>0</v>
      </c>
      <c r="R100" s="244">
        <f>'5.16. Nemzetközi pályázatok'!R28</f>
        <v>0</v>
      </c>
      <c r="S100" s="244">
        <f>'5.16. Nemzetközi pályázatok'!S28</f>
        <v>0</v>
      </c>
      <c r="T100" s="244">
        <f>'5.16. Nemzetközi pályázatok'!T28</f>
        <v>0</v>
      </c>
      <c r="U100" s="244">
        <f>'5.16. Nemzetközi pályázatok'!U28</f>
        <v>0</v>
      </c>
    </row>
    <row r="101" spans="1:21" s="11" customFormat="1" ht="18.75" thickBot="1">
      <c r="A101" s="394"/>
      <c r="B101" s="6" t="s">
        <v>153</v>
      </c>
      <c r="C101" s="250" t="s">
        <v>43</v>
      </c>
      <c r="D101" s="251">
        <f t="shared" si="37"/>
        <v>0</v>
      </c>
      <c r="E101" s="247">
        <f>'5.16. Nemzetközi pályázatok'!E29</f>
        <v>0</v>
      </c>
      <c r="F101" s="248">
        <f>'5.16. Nemzetközi pályázatok'!F29</f>
        <v>0</v>
      </c>
      <c r="G101" s="248">
        <f>'5.16. Nemzetközi pályázatok'!G29</f>
        <v>0</v>
      </c>
      <c r="H101" s="248">
        <f>'5.16. Nemzetközi pályázatok'!H29</f>
        <v>0</v>
      </c>
      <c r="I101" s="248">
        <f>'5.16. Nemzetközi pályázatok'!I29</f>
        <v>0</v>
      </c>
      <c r="J101" s="248">
        <f>'5.16. Nemzetközi pályázatok'!J29</f>
        <v>0</v>
      </c>
      <c r="K101" s="248">
        <f>'5.16. Nemzetközi pályázatok'!K29</f>
        <v>0</v>
      </c>
      <c r="L101" s="248">
        <f>'5.16. Nemzetközi pályázatok'!L29</f>
        <v>0</v>
      </c>
      <c r="M101" s="251">
        <f t="shared" si="40"/>
        <v>0</v>
      </c>
      <c r="N101" s="247">
        <f>'5.16. Nemzetközi pályázatok'!N29</f>
        <v>0</v>
      </c>
      <c r="O101" s="248">
        <f>'5.16. Nemzetközi pályázatok'!O29</f>
        <v>0</v>
      </c>
      <c r="P101" s="248">
        <f>'5.16. Nemzetközi pályázatok'!P29</f>
        <v>0</v>
      </c>
      <c r="Q101" s="248">
        <f>'5.16. Nemzetközi pályázatok'!Q29</f>
        <v>0</v>
      </c>
      <c r="R101" s="248">
        <f>'5.16. Nemzetközi pályázatok'!R29</f>
        <v>0</v>
      </c>
      <c r="S101" s="248">
        <f>'5.16. Nemzetközi pályázatok'!S29</f>
        <v>0</v>
      </c>
      <c r="T101" s="248">
        <f>'5.16. Nemzetközi pályázatok'!T29</f>
        <v>0</v>
      </c>
      <c r="U101" s="248">
        <f>'5.16. Nemzetközi pályázatok'!U29</f>
        <v>0</v>
      </c>
    </row>
    <row r="102" spans="1:21" s="11" customFormat="1" ht="18" customHeight="1">
      <c r="A102" s="235" t="s">
        <v>154</v>
      </c>
      <c r="B102" s="393" t="s">
        <v>155</v>
      </c>
      <c r="C102" s="393"/>
      <c r="D102" s="236">
        <f t="shared" si="37"/>
        <v>6766074080</v>
      </c>
      <c r="E102" s="237">
        <f aca="true" t="shared" si="51" ref="E102:L102">SUM(E103:E105)</f>
        <v>251260</v>
      </c>
      <c r="F102" s="238">
        <f t="shared" si="51"/>
        <v>430572</v>
      </c>
      <c r="G102" s="238">
        <f t="shared" si="51"/>
        <v>1754007790</v>
      </c>
      <c r="H102" s="238">
        <f t="shared" si="51"/>
        <v>0</v>
      </c>
      <c r="I102" s="238">
        <f t="shared" si="51"/>
        <v>0</v>
      </c>
      <c r="J102" s="238">
        <f t="shared" si="51"/>
        <v>4979203668</v>
      </c>
      <c r="K102" s="238">
        <f t="shared" si="51"/>
        <v>29680790</v>
      </c>
      <c r="L102" s="238">
        <f t="shared" si="51"/>
        <v>2500000</v>
      </c>
      <c r="M102" s="236">
        <f t="shared" si="40"/>
        <v>7453370196</v>
      </c>
      <c r="N102" s="237">
        <f aca="true" t="shared" si="52" ref="N102:U102">SUM(N103:N105)</f>
        <v>7867720</v>
      </c>
      <c r="O102" s="238">
        <f t="shared" si="52"/>
        <v>707431</v>
      </c>
      <c r="P102" s="238">
        <f t="shared" si="52"/>
        <v>2193456078</v>
      </c>
      <c r="Q102" s="238">
        <f t="shared" si="52"/>
        <v>0</v>
      </c>
      <c r="R102" s="238">
        <f t="shared" si="52"/>
        <v>0</v>
      </c>
      <c r="S102" s="238">
        <f t="shared" si="52"/>
        <v>5221745349</v>
      </c>
      <c r="T102" s="238">
        <f t="shared" si="52"/>
        <v>27093618</v>
      </c>
      <c r="U102" s="238">
        <f t="shared" si="52"/>
        <v>2500000</v>
      </c>
    </row>
    <row r="103" spans="1:21" s="11" customFormat="1" ht="18.75" thickBot="1">
      <c r="A103" s="394"/>
      <c r="B103" s="6" t="s">
        <v>156</v>
      </c>
      <c r="C103" s="9" t="s">
        <v>39</v>
      </c>
      <c r="D103" s="7">
        <f t="shared" si="37"/>
        <v>6766074080</v>
      </c>
      <c r="E103" s="240">
        <f>'5.17. Vagyon'!E10</f>
        <v>251260</v>
      </c>
      <c r="F103" s="241">
        <f>'5.17. Vagyon'!F10</f>
        <v>430572</v>
      </c>
      <c r="G103" s="252">
        <f>'5.17. Vagyon'!G10</f>
        <v>1754007790</v>
      </c>
      <c r="H103" s="252">
        <f>'5.17. Vagyon'!H10</f>
        <v>0</v>
      </c>
      <c r="I103" s="252">
        <f>'5.17. Vagyon'!I10</f>
        <v>0</v>
      </c>
      <c r="J103" s="252">
        <f>'5.17. Vagyon'!J10</f>
        <v>4979203668</v>
      </c>
      <c r="K103" s="252">
        <f>'5.17. Vagyon'!K10</f>
        <v>29680790</v>
      </c>
      <c r="L103" s="241">
        <f>'5.17. Vagyon'!L10</f>
        <v>2500000</v>
      </c>
      <c r="M103" s="7">
        <f t="shared" si="40"/>
        <v>7453370196</v>
      </c>
      <c r="N103" s="240">
        <f>'5.17. Vagyon'!N10</f>
        <v>7867720</v>
      </c>
      <c r="O103" s="240">
        <f>'5.17. Vagyon'!O10</f>
        <v>707431</v>
      </c>
      <c r="P103" s="240">
        <f>'5.17. Vagyon'!P10</f>
        <v>2193456078</v>
      </c>
      <c r="Q103" s="240">
        <f>'5.17. Vagyon'!Q10</f>
        <v>0</v>
      </c>
      <c r="R103" s="240">
        <f>'5.17. Vagyon'!R10</f>
        <v>0</v>
      </c>
      <c r="S103" s="240">
        <f>'5.17. Vagyon'!S10</f>
        <v>5221745349</v>
      </c>
      <c r="T103" s="240">
        <f>'5.17. Vagyon'!T10</f>
        <v>27093618</v>
      </c>
      <c r="U103" s="240">
        <f>'5.17. Vagyon'!U10</f>
        <v>2500000</v>
      </c>
    </row>
    <row r="104" spans="1:21" s="11" customFormat="1" ht="18.75" thickBot="1">
      <c r="A104" s="394"/>
      <c r="B104" s="6" t="s">
        <v>157</v>
      </c>
      <c r="C104" s="9" t="s">
        <v>41</v>
      </c>
      <c r="D104" s="7">
        <f t="shared" si="37"/>
        <v>0</v>
      </c>
      <c r="E104" s="243">
        <f>'[1]5.17. Vagyon SZL_01.13'!E30</f>
        <v>0</v>
      </c>
      <c r="F104" s="244">
        <f>'[1]5.17. Vagyon SZL_01.13'!F30</f>
        <v>0</v>
      </c>
      <c r="G104" s="244">
        <f>'[1]5.17. Vagyon SZL_01.13'!G30</f>
        <v>0</v>
      </c>
      <c r="H104" s="244">
        <f>'[1]5.17. Vagyon SZL_01.13'!H30</f>
        <v>0</v>
      </c>
      <c r="I104" s="244">
        <f>'[1]5.17. Vagyon SZL_01.13'!I30</f>
        <v>0</v>
      </c>
      <c r="J104" s="244">
        <f>'[1]5.17. Vagyon SZL_01.13'!J30</f>
        <v>0</v>
      </c>
      <c r="K104" s="244">
        <f>'[1]5.17. Vagyon SZL_01.13'!K30</f>
        <v>0</v>
      </c>
      <c r="L104" s="244">
        <f>'[1]5.17. Vagyon SZL_01.13'!L30</f>
        <v>0</v>
      </c>
      <c r="M104" s="7">
        <f t="shared" si="40"/>
        <v>0</v>
      </c>
      <c r="N104" s="240">
        <f>'5.17. Vagyon'!N30</f>
        <v>0</v>
      </c>
      <c r="O104" s="240">
        <f>'5.17. Vagyon'!O30</f>
        <v>0</v>
      </c>
      <c r="P104" s="240">
        <f>'5.17. Vagyon'!P30</f>
        <v>0</v>
      </c>
      <c r="Q104" s="240">
        <f>'5.17. Vagyon'!Q30</f>
        <v>0</v>
      </c>
      <c r="R104" s="240">
        <f>'5.17. Vagyon'!R30</f>
        <v>0</v>
      </c>
      <c r="S104" s="240">
        <f>'5.17. Vagyon'!S30</f>
        <v>0</v>
      </c>
      <c r="T104" s="240">
        <f>'5.17. Vagyon'!T30</f>
        <v>0</v>
      </c>
      <c r="U104" s="240">
        <f>'5.17. Vagyon'!U30</f>
        <v>0</v>
      </c>
    </row>
    <row r="105" spans="1:21" s="11" customFormat="1" ht="18.75" thickBot="1">
      <c r="A105" s="394"/>
      <c r="B105" s="6" t="s">
        <v>158</v>
      </c>
      <c r="C105" s="250" t="s">
        <v>43</v>
      </c>
      <c r="D105" s="251">
        <f t="shared" si="37"/>
        <v>0</v>
      </c>
      <c r="E105" s="247">
        <f>'[1]5.17. Vagyon SZL_01.13'!E31</f>
        <v>0</v>
      </c>
      <c r="F105" s="248">
        <f>'[1]5.17. Vagyon SZL_01.13'!F31</f>
        <v>0</v>
      </c>
      <c r="G105" s="248">
        <f>'[1]5.17. Vagyon SZL_01.13'!G31</f>
        <v>0</v>
      </c>
      <c r="H105" s="248">
        <f>'[1]5.17. Vagyon SZL_01.13'!H31</f>
        <v>0</v>
      </c>
      <c r="I105" s="248">
        <f>'[1]5.17. Vagyon SZL_01.13'!I31</f>
        <v>0</v>
      </c>
      <c r="J105" s="248">
        <f>'[1]5.17. Vagyon SZL_01.13'!J31</f>
        <v>0</v>
      </c>
      <c r="K105" s="248">
        <f>'[1]5.17. Vagyon SZL_01.13'!K31</f>
        <v>0</v>
      </c>
      <c r="L105" s="248">
        <f>'[1]5.17. Vagyon SZL_01.13'!L31</f>
        <v>0</v>
      </c>
      <c r="M105" s="251">
        <f t="shared" si="40"/>
        <v>0</v>
      </c>
      <c r="N105" s="240">
        <f>'5.17. Vagyon'!N31</f>
        <v>0</v>
      </c>
      <c r="O105" s="240">
        <f>'5.17. Vagyon'!O31</f>
        <v>0</v>
      </c>
      <c r="P105" s="240">
        <f>'5.17. Vagyon'!P31</f>
        <v>0</v>
      </c>
      <c r="Q105" s="240">
        <f>'5.17. Vagyon'!Q31</f>
        <v>0</v>
      </c>
      <c r="R105" s="240">
        <f>'5.17. Vagyon'!R31</f>
        <v>0</v>
      </c>
      <c r="S105" s="240">
        <f>'5.17. Vagyon'!S31</f>
        <v>0</v>
      </c>
      <c r="T105" s="240">
        <f>'5.17. Vagyon'!T31</f>
        <v>0</v>
      </c>
      <c r="U105" s="240">
        <f>'5.17. Vagyon'!U31</f>
        <v>0</v>
      </c>
    </row>
    <row r="106" spans="1:21" s="11" customFormat="1" ht="30.75" customHeight="1">
      <c r="A106" s="235" t="s">
        <v>159</v>
      </c>
      <c r="B106" s="393" t="s">
        <v>160</v>
      </c>
      <c r="C106" s="393"/>
      <c r="D106" s="236">
        <f t="shared" si="37"/>
        <v>13000000</v>
      </c>
      <c r="E106" s="237">
        <f aca="true" t="shared" si="53" ref="E106:L106">SUM(E107:E109)</f>
        <v>0</v>
      </c>
      <c r="F106" s="238">
        <f t="shared" si="53"/>
        <v>0</v>
      </c>
      <c r="G106" s="238">
        <f t="shared" si="53"/>
        <v>0</v>
      </c>
      <c r="H106" s="238">
        <f t="shared" si="53"/>
        <v>0</v>
      </c>
      <c r="I106" s="238">
        <f t="shared" si="53"/>
        <v>13000000</v>
      </c>
      <c r="J106" s="238">
        <f t="shared" si="53"/>
        <v>0</v>
      </c>
      <c r="K106" s="238">
        <f t="shared" si="53"/>
        <v>0</v>
      </c>
      <c r="L106" s="238">
        <f t="shared" si="53"/>
        <v>0</v>
      </c>
      <c r="M106" s="236">
        <f t="shared" si="40"/>
        <v>13000000</v>
      </c>
      <c r="N106" s="237">
        <f aca="true" t="shared" si="54" ref="N106:U106">SUM(N107:N109)</f>
        <v>0</v>
      </c>
      <c r="O106" s="238">
        <f t="shared" si="54"/>
        <v>0</v>
      </c>
      <c r="P106" s="238">
        <f t="shared" si="54"/>
        <v>0</v>
      </c>
      <c r="Q106" s="238">
        <f t="shared" si="54"/>
        <v>0</v>
      </c>
      <c r="R106" s="238">
        <f t="shared" si="54"/>
        <v>13000000</v>
      </c>
      <c r="S106" s="238">
        <f t="shared" si="54"/>
        <v>0</v>
      </c>
      <c r="T106" s="238">
        <f t="shared" si="54"/>
        <v>0</v>
      </c>
      <c r="U106" s="238">
        <f t="shared" si="54"/>
        <v>0</v>
      </c>
    </row>
    <row r="107" spans="1:21" s="11" customFormat="1" ht="18.75" thickBot="1">
      <c r="A107" s="404"/>
      <c r="B107" s="6" t="s">
        <v>161</v>
      </c>
      <c r="C107" s="9" t="s">
        <v>39</v>
      </c>
      <c r="D107" s="7">
        <f t="shared" si="37"/>
        <v>0</v>
      </c>
      <c r="E107" s="240">
        <f>'5.18. Nemzetiség'!E10</f>
        <v>0</v>
      </c>
      <c r="F107" s="241">
        <f>'5.18. Nemzetiség'!F10</f>
        <v>0</v>
      </c>
      <c r="G107" s="241">
        <f>'5.18. Nemzetiség'!G10</f>
        <v>0</v>
      </c>
      <c r="H107" s="241">
        <f>'5.18. Nemzetiség'!H10</f>
        <v>0</v>
      </c>
      <c r="I107" s="241">
        <f>'5.18. Nemzetiség'!I10</f>
        <v>0</v>
      </c>
      <c r="J107" s="241">
        <f>'5.18. Nemzetiség'!J10</f>
        <v>0</v>
      </c>
      <c r="K107" s="241">
        <f>'5.18. Nemzetiség'!K10</f>
        <v>0</v>
      </c>
      <c r="L107" s="241">
        <f>'5.18. Nemzetiség'!L10</f>
        <v>0</v>
      </c>
      <c r="M107" s="7">
        <f t="shared" si="40"/>
        <v>0</v>
      </c>
      <c r="N107" s="240">
        <f>'5.18. Nemzetiség'!N10</f>
        <v>0</v>
      </c>
      <c r="O107" s="241">
        <f>'5.18. Nemzetiség'!O10</f>
        <v>0</v>
      </c>
      <c r="P107" s="241">
        <f>'5.18. Nemzetiség'!P10</f>
        <v>0</v>
      </c>
      <c r="Q107" s="241">
        <f>'5.18. Nemzetiség'!Q10</f>
        <v>0</v>
      </c>
      <c r="R107" s="241">
        <f>'5.18. Nemzetiség'!R10</f>
        <v>0</v>
      </c>
      <c r="S107" s="241">
        <f>'5.18. Nemzetiség'!S10</f>
        <v>0</v>
      </c>
      <c r="T107" s="241">
        <f>'5.18. Nemzetiség'!T10</f>
        <v>0</v>
      </c>
      <c r="U107" s="241">
        <f>'5.18. Nemzetiség'!U10</f>
        <v>0</v>
      </c>
    </row>
    <row r="108" spans="1:21" s="11" customFormat="1" ht="18.75" thickBot="1">
      <c r="A108" s="404"/>
      <c r="B108" s="6" t="s">
        <v>162</v>
      </c>
      <c r="C108" s="9" t="s">
        <v>41</v>
      </c>
      <c r="D108" s="7">
        <f t="shared" si="37"/>
        <v>13000000</v>
      </c>
      <c r="E108" s="243">
        <f>'5.18. Nemzetiség'!E11</f>
        <v>0</v>
      </c>
      <c r="F108" s="244">
        <f>'5.18. Nemzetiség'!F11</f>
        <v>0</v>
      </c>
      <c r="G108" s="244">
        <f>'5.18. Nemzetiség'!G11</f>
        <v>0</v>
      </c>
      <c r="H108" s="244">
        <f>'5.18. Nemzetiség'!H11</f>
        <v>0</v>
      </c>
      <c r="I108" s="244">
        <f>'5.18. Nemzetiség'!I11</f>
        <v>13000000</v>
      </c>
      <c r="J108" s="244">
        <f>'5.18. Nemzetiség'!J11</f>
        <v>0</v>
      </c>
      <c r="K108" s="244">
        <f>'5.18. Nemzetiség'!K11</f>
        <v>0</v>
      </c>
      <c r="L108" s="244">
        <f>'5.18. Nemzetiség'!L11</f>
        <v>0</v>
      </c>
      <c r="M108" s="7">
        <f t="shared" si="40"/>
        <v>13000000</v>
      </c>
      <c r="N108" s="243">
        <f>'5.18. Nemzetiség'!N11</f>
        <v>0</v>
      </c>
      <c r="O108" s="244">
        <f>'5.18. Nemzetiség'!O11</f>
        <v>0</v>
      </c>
      <c r="P108" s="244">
        <f>'5.18. Nemzetiség'!P11</f>
        <v>0</v>
      </c>
      <c r="Q108" s="244">
        <f>'5.18. Nemzetiség'!Q11</f>
        <v>0</v>
      </c>
      <c r="R108" s="244">
        <f>'5.18. Nemzetiség'!R11</f>
        <v>13000000</v>
      </c>
      <c r="S108" s="244">
        <f>'5.18. Nemzetiség'!S11</f>
        <v>0</v>
      </c>
      <c r="T108" s="244">
        <f>'5.18. Nemzetiség'!T11</f>
        <v>0</v>
      </c>
      <c r="U108" s="244">
        <f>'5.18. Nemzetiség'!U11</f>
        <v>0</v>
      </c>
    </row>
    <row r="109" spans="1:21" s="11" customFormat="1" ht="18.75" thickBot="1">
      <c r="A109" s="404"/>
      <c r="B109" s="6" t="s">
        <v>163</v>
      </c>
      <c r="C109" s="250" t="s">
        <v>43</v>
      </c>
      <c r="D109" s="251">
        <f t="shared" si="37"/>
        <v>0</v>
      </c>
      <c r="E109" s="247">
        <f>'5.18. Nemzetiség'!E21</f>
        <v>0</v>
      </c>
      <c r="F109" s="248">
        <f>'5.18. Nemzetiség'!F21</f>
        <v>0</v>
      </c>
      <c r="G109" s="248">
        <f>'5.18. Nemzetiség'!G21</f>
        <v>0</v>
      </c>
      <c r="H109" s="248">
        <f>'5.18. Nemzetiség'!H21</f>
        <v>0</v>
      </c>
      <c r="I109" s="248">
        <f>'5.18. Nemzetiség'!I21</f>
        <v>0</v>
      </c>
      <c r="J109" s="248">
        <f>'5.18. Nemzetiség'!J21</f>
        <v>0</v>
      </c>
      <c r="K109" s="248">
        <f>'5.18. Nemzetiség'!K21</f>
        <v>0</v>
      </c>
      <c r="L109" s="248">
        <f>'5.18. Nemzetiség'!L21</f>
        <v>0</v>
      </c>
      <c r="M109" s="251">
        <f t="shared" si="40"/>
        <v>0</v>
      </c>
      <c r="N109" s="247">
        <f>'5.18. Nemzetiség'!N21</f>
        <v>0</v>
      </c>
      <c r="O109" s="248">
        <f>'5.18. Nemzetiség'!O21</f>
        <v>0</v>
      </c>
      <c r="P109" s="248">
        <f>'5.18. Nemzetiség'!P21</f>
        <v>0</v>
      </c>
      <c r="Q109" s="248">
        <f>'5.18. Nemzetiség'!Q21</f>
        <v>0</v>
      </c>
      <c r="R109" s="248">
        <f>'5.18. Nemzetiség'!R21</f>
        <v>0</v>
      </c>
      <c r="S109" s="248">
        <f>'5.18. Nemzetiség'!S21</f>
        <v>0</v>
      </c>
      <c r="T109" s="248">
        <f>'5.18. Nemzetiség'!T21</f>
        <v>0</v>
      </c>
      <c r="U109" s="248">
        <f>'5.18. Nemzetiség'!U21</f>
        <v>0</v>
      </c>
    </row>
    <row r="110" spans="1:21" s="11" customFormat="1" ht="18" customHeight="1">
      <c r="A110" s="235" t="s">
        <v>164</v>
      </c>
      <c r="B110" s="393" t="s">
        <v>165</v>
      </c>
      <c r="C110" s="393"/>
      <c r="D110" s="236">
        <f t="shared" si="37"/>
        <v>50000000</v>
      </c>
      <c r="E110" s="237">
        <f aca="true" t="shared" si="55" ref="E110:L110">SUM(E111:E113)</f>
        <v>0</v>
      </c>
      <c r="F110" s="238">
        <f t="shared" si="55"/>
        <v>0</v>
      </c>
      <c r="G110" s="238">
        <f t="shared" si="55"/>
        <v>0</v>
      </c>
      <c r="H110" s="238">
        <f t="shared" si="55"/>
        <v>0</v>
      </c>
      <c r="I110" s="238">
        <f t="shared" si="55"/>
        <v>50000000</v>
      </c>
      <c r="J110" s="238">
        <f t="shared" si="55"/>
        <v>0</v>
      </c>
      <c r="K110" s="238">
        <f t="shared" si="55"/>
        <v>0</v>
      </c>
      <c r="L110" s="238">
        <f t="shared" si="55"/>
        <v>0</v>
      </c>
      <c r="M110" s="236">
        <f t="shared" si="40"/>
        <v>1903235942</v>
      </c>
      <c r="N110" s="237">
        <f aca="true" t="shared" si="56" ref="N110:U110">SUM(N111:N113)</f>
        <v>0</v>
      </c>
      <c r="O110" s="238">
        <f t="shared" si="56"/>
        <v>0</v>
      </c>
      <c r="P110" s="238">
        <f t="shared" si="56"/>
        <v>0</v>
      </c>
      <c r="Q110" s="238">
        <f t="shared" si="56"/>
        <v>0</v>
      </c>
      <c r="R110" s="238">
        <f t="shared" si="56"/>
        <v>1903235942</v>
      </c>
      <c r="S110" s="238">
        <f t="shared" si="56"/>
        <v>0</v>
      </c>
      <c r="T110" s="238">
        <f t="shared" si="56"/>
        <v>0</v>
      </c>
      <c r="U110" s="238">
        <f t="shared" si="56"/>
        <v>0</v>
      </c>
    </row>
    <row r="111" spans="1:21" s="11" customFormat="1" ht="18.75" thickBot="1">
      <c r="A111" s="394"/>
      <c r="B111" s="6" t="s">
        <v>166</v>
      </c>
      <c r="C111" s="9" t="s">
        <v>39</v>
      </c>
      <c r="D111" s="7">
        <f t="shared" si="37"/>
        <v>50000000</v>
      </c>
      <c r="E111" s="240">
        <v>0</v>
      </c>
      <c r="F111" s="241">
        <v>0</v>
      </c>
      <c r="G111" s="241">
        <v>0</v>
      </c>
      <c r="H111" s="241">
        <v>0</v>
      </c>
      <c r="I111" s="241">
        <v>50000000</v>
      </c>
      <c r="J111" s="241">
        <v>0</v>
      </c>
      <c r="K111" s="241">
        <v>0</v>
      </c>
      <c r="L111" s="242">
        <v>0</v>
      </c>
      <c r="M111" s="7">
        <f t="shared" si="40"/>
        <v>1903235942</v>
      </c>
      <c r="N111" s="240">
        <v>0</v>
      </c>
      <c r="O111" s="241">
        <v>0</v>
      </c>
      <c r="P111" s="241">
        <v>0</v>
      </c>
      <c r="Q111" s="241">
        <v>0</v>
      </c>
      <c r="R111" s="241">
        <v>1903235942</v>
      </c>
      <c r="S111" s="241">
        <v>0</v>
      </c>
      <c r="T111" s="241">
        <v>0</v>
      </c>
      <c r="U111" s="242">
        <v>0</v>
      </c>
    </row>
    <row r="112" spans="1:21" s="11" customFormat="1" ht="18.75" thickBot="1">
      <c r="A112" s="394"/>
      <c r="B112" s="6" t="s">
        <v>167</v>
      </c>
      <c r="C112" s="9" t="s">
        <v>41</v>
      </c>
      <c r="D112" s="7">
        <f t="shared" si="37"/>
        <v>0</v>
      </c>
      <c r="E112" s="243">
        <v>0</v>
      </c>
      <c r="F112" s="244">
        <v>0</v>
      </c>
      <c r="G112" s="244">
        <v>0</v>
      </c>
      <c r="H112" s="244">
        <v>0</v>
      </c>
      <c r="I112" s="244">
        <v>0</v>
      </c>
      <c r="J112" s="244">
        <v>0</v>
      </c>
      <c r="K112" s="244">
        <v>0</v>
      </c>
      <c r="L112" s="245">
        <v>0</v>
      </c>
      <c r="M112" s="7">
        <f t="shared" si="40"/>
        <v>0</v>
      </c>
      <c r="N112" s="243">
        <v>0</v>
      </c>
      <c r="O112" s="244">
        <v>0</v>
      </c>
      <c r="P112" s="244">
        <v>0</v>
      </c>
      <c r="Q112" s="244">
        <v>0</v>
      </c>
      <c r="R112" s="244">
        <v>0</v>
      </c>
      <c r="S112" s="244">
        <v>0</v>
      </c>
      <c r="T112" s="244">
        <v>0</v>
      </c>
      <c r="U112" s="245">
        <v>0</v>
      </c>
    </row>
    <row r="113" spans="1:21" s="11" customFormat="1" ht="18.75" thickBot="1">
      <c r="A113" s="394"/>
      <c r="B113" s="6" t="s">
        <v>168</v>
      </c>
      <c r="C113" s="250" t="s">
        <v>43</v>
      </c>
      <c r="D113" s="251">
        <f t="shared" si="37"/>
        <v>0</v>
      </c>
      <c r="E113" s="247">
        <v>0</v>
      </c>
      <c r="F113" s="248">
        <v>0</v>
      </c>
      <c r="G113" s="248">
        <v>0</v>
      </c>
      <c r="H113" s="248">
        <v>0</v>
      </c>
      <c r="I113" s="248">
        <v>0</v>
      </c>
      <c r="J113" s="248">
        <v>0</v>
      </c>
      <c r="K113" s="248">
        <v>0</v>
      </c>
      <c r="L113" s="249">
        <v>0</v>
      </c>
      <c r="M113" s="251">
        <f t="shared" si="40"/>
        <v>0</v>
      </c>
      <c r="N113" s="247">
        <v>0</v>
      </c>
      <c r="O113" s="248">
        <v>0</v>
      </c>
      <c r="P113" s="248">
        <v>0</v>
      </c>
      <c r="Q113" s="248">
        <v>0</v>
      </c>
      <c r="R113" s="248">
        <v>0</v>
      </c>
      <c r="S113" s="248">
        <v>0</v>
      </c>
      <c r="T113" s="248">
        <v>0</v>
      </c>
      <c r="U113" s="249">
        <v>0</v>
      </c>
    </row>
    <row r="114" spans="1:21" s="11" customFormat="1" ht="18" customHeight="1">
      <c r="A114" s="235" t="s">
        <v>169</v>
      </c>
      <c r="B114" s="393" t="s">
        <v>170</v>
      </c>
      <c r="C114" s="393"/>
      <c r="D114" s="236">
        <f t="shared" si="37"/>
        <v>512668480</v>
      </c>
      <c r="E114" s="237">
        <f aca="true" t="shared" si="57" ref="E114:L114">SUM(E115:E117)</f>
        <v>0</v>
      </c>
      <c r="F114" s="238">
        <f t="shared" si="57"/>
        <v>0</v>
      </c>
      <c r="G114" s="238">
        <f t="shared" si="57"/>
        <v>0</v>
      </c>
      <c r="H114" s="238">
        <f t="shared" si="57"/>
        <v>0</v>
      </c>
      <c r="I114" s="238">
        <f t="shared" si="57"/>
        <v>512668480</v>
      </c>
      <c r="J114" s="238">
        <f t="shared" si="57"/>
        <v>0</v>
      </c>
      <c r="K114" s="238">
        <f t="shared" si="57"/>
        <v>0</v>
      </c>
      <c r="L114" s="238">
        <f t="shared" si="57"/>
        <v>0</v>
      </c>
      <c r="M114" s="236">
        <f t="shared" si="40"/>
        <v>267576174</v>
      </c>
      <c r="N114" s="237">
        <f aca="true" t="shared" si="58" ref="N114:U114">SUM(N115:N117)</f>
        <v>0</v>
      </c>
      <c r="O114" s="238">
        <f t="shared" si="58"/>
        <v>0</v>
      </c>
      <c r="P114" s="238">
        <f t="shared" si="58"/>
        <v>0</v>
      </c>
      <c r="Q114" s="238">
        <f t="shared" si="58"/>
        <v>0</v>
      </c>
      <c r="R114" s="238">
        <f t="shared" si="58"/>
        <v>267576174</v>
      </c>
      <c r="S114" s="238">
        <f t="shared" si="58"/>
        <v>0</v>
      </c>
      <c r="T114" s="238">
        <f t="shared" si="58"/>
        <v>0</v>
      </c>
      <c r="U114" s="238">
        <f t="shared" si="58"/>
        <v>0</v>
      </c>
    </row>
    <row r="115" spans="1:21" s="11" customFormat="1" ht="18.75" thickBot="1">
      <c r="A115" s="394"/>
      <c r="B115" s="6" t="s">
        <v>171</v>
      </c>
      <c r="C115" s="9" t="s">
        <v>39</v>
      </c>
      <c r="D115" s="7">
        <f t="shared" si="37"/>
        <v>512668480</v>
      </c>
      <c r="E115" s="240">
        <f>'5.19. Céltartalék'!E10</f>
        <v>0</v>
      </c>
      <c r="F115" s="241">
        <f>'5.19. Céltartalék'!F10</f>
        <v>0</v>
      </c>
      <c r="G115" s="241">
        <f>'5.19. Céltartalék'!G10</f>
        <v>0</v>
      </c>
      <c r="H115" s="241">
        <f>'5.19. Céltartalék'!H10</f>
        <v>0</v>
      </c>
      <c r="I115" s="241">
        <f>'5.19. Céltartalék'!I10</f>
        <v>512668480</v>
      </c>
      <c r="J115" s="241">
        <f>'5.19. Céltartalék'!J10</f>
        <v>0</v>
      </c>
      <c r="K115" s="241">
        <f>'5.19. Céltartalék'!K10</f>
        <v>0</v>
      </c>
      <c r="L115" s="241">
        <f>'5.19. Céltartalék'!L10</f>
        <v>0</v>
      </c>
      <c r="M115" s="7">
        <f t="shared" si="40"/>
        <v>267576174</v>
      </c>
      <c r="N115" s="240">
        <f>'5.19. Céltartalék'!N10</f>
        <v>0</v>
      </c>
      <c r="O115" s="241">
        <f>'5.19. Céltartalék'!O10</f>
        <v>0</v>
      </c>
      <c r="P115" s="241">
        <f>'5.19. Céltartalék'!P10</f>
        <v>0</v>
      </c>
      <c r="Q115" s="241">
        <f>'5.19. Céltartalék'!Q10</f>
        <v>0</v>
      </c>
      <c r="R115" s="241">
        <f>'5.19. Céltartalék'!R10</f>
        <v>267576174</v>
      </c>
      <c r="S115" s="241">
        <f>'5.19. Céltartalék'!S10</f>
        <v>0</v>
      </c>
      <c r="T115" s="241">
        <f>'5.19. Céltartalék'!T10</f>
        <v>0</v>
      </c>
      <c r="U115" s="241">
        <f>'5.19. Céltartalék'!U10</f>
        <v>0</v>
      </c>
    </row>
    <row r="116" spans="1:21" s="11" customFormat="1" ht="18.75" thickBot="1">
      <c r="A116" s="394"/>
      <c r="B116" s="6" t="s">
        <v>172</v>
      </c>
      <c r="C116" s="9" t="s">
        <v>41</v>
      </c>
      <c r="D116" s="7">
        <f t="shared" si="37"/>
        <v>0</v>
      </c>
      <c r="E116" s="243">
        <f>'5.19. Céltartalék'!E23</f>
        <v>0</v>
      </c>
      <c r="F116" s="244">
        <f>'5.19. Céltartalék'!F23</f>
        <v>0</v>
      </c>
      <c r="G116" s="244">
        <f>'5.19. Céltartalék'!G23</f>
        <v>0</v>
      </c>
      <c r="H116" s="244">
        <f>'5.19. Céltartalék'!H23</f>
        <v>0</v>
      </c>
      <c r="I116" s="244">
        <f>'5.19. Céltartalék'!I23</f>
        <v>0</v>
      </c>
      <c r="J116" s="244">
        <f>'5.19. Céltartalék'!J23</f>
        <v>0</v>
      </c>
      <c r="K116" s="244">
        <f>'5.19. Céltartalék'!K23</f>
        <v>0</v>
      </c>
      <c r="L116" s="244">
        <f>'5.19. Céltartalék'!L23</f>
        <v>0</v>
      </c>
      <c r="M116" s="7">
        <f t="shared" si="40"/>
        <v>0</v>
      </c>
      <c r="N116" s="243">
        <f>'5.19. Céltartalék'!N23</f>
        <v>0</v>
      </c>
      <c r="O116" s="244">
        <f>'5.19. Céltartalék'!O23</f>
        <v>0</v>
      </c>
      <c r="P116" s="244">
        <f>'5.19. Céltartalék'!P23</f>
        <v>0</v>
      </c>
      <c r="Q116" s="244">
        <f>'5.19. Céltartalék'!Q23</f>
        <v>0</v>
      </c>
      <c r="R116" s="244">
        <f>'5.19. Céltartalék'!R23</f>
        <v>0</v>
      </c>
      <c r="S116" s="244">
        <f>'5.19. Céltartalék'!S23</f>
        <v>0</v>
      </c>
      <c r="T116" s="244">
        <f>'5.19. Céltartalék'!T23</f>
        <v>0</v>
      </c>
      <c r="U116" s="244">
        <f>'5.19. Céltartalék'!U23</f>
        <v>0</v>
      </c>
    </row>
    <row r="117" spans="1:21" s="11" customFormat="1" ht="18.75" thickBot="1">
      <c r="A117" s="395"/>
      <c r="B117" s="253" t="s">
        <v>173</v>
      </c>
      <c r="C117" s="239" t="s">
        <v>43</v>
      </c>
      <c r="D117" s="251">
        <f t="shared" si="37"/>
        <v>0</v>
      </c>
      <c r="E117" s="254">
        <f>'5.19. Céltartalék'!E24</f>
        <v>0</v>
      </c>
      <c r="F117" s="255">
        <f>'5.19. Céltartalék'!F24</f>
        <v>0</v>
      </c>
      <c r="G117" s="255">
        <f>'5.19. Céltartalék'!G24</f>
        <v>0</v>
      </c>
      <c r="H117" s="255">
        <f>'5.19. Céltartalék'!H24</f>
        <v>0</v>
      </c>
      <c r="I117" s="255">
        <f>'5.19. Céltartalék'!I24</f>
        <v>0</v>
      </c>
      <c r="J117" s="255">
        <f>'5.19. Céltartalék'!J24</f>
        <v>0</v>
      </c>
      <c r="K117" s="255">
        <f>'5.19. Céltartalék'!K24</f>
        <v>0</v>
      </c>
      <c r="L117" s="255">
        <f>'5.19. Céltartalék'!L24</f>
        <v>0</v>
      </c>
      <c r="M117" s="251">
        <f t="shared" si="40"/>
        <v>0</v>
      </c>
      <c r="N117" s="254">
        <f>'5.19. Céltartalék'!N24</f>
        <v>0</v>
      </c>
      <c r="O117" s="255">
        <f>'5.19. Céltartalék'!O24</f>
        <v>0</v>
      </c>
      <c r="P117" s="255">
        <f>'5.19. Céltartalék'!P24</f>
        <v>0</v>
      </c>
      <c r="Q117" s="255">
        <f>'5.19. Céltartalék'!Q24</f>
        <v>0</v>
      </c>
      <c r="R117" s="255">
        <f>'5.19. Céltartalék'!R24</f>
        <v>0</v>
      </c>
      <c r="S117" s="255">
        <f>'5.19. Céltartalék'!S24</f>
        <v>0</v>
      </c>
      <c r="T117" s="255">
        <f>'5.19. Céltartalék'!T24</f>
        <v>0</v>
      </c>
      <c r="U117" s="255">
        <f>'5.19. Céltartalék'!U24</f>
        <v>0</v>
      </c>
    </row>
    <row r="118" spans="1:21" s="11" customFormat="1" ht="18" customHeight="1">
      <c r="A118" s="235" t="s">
        <v>1479</v>
      </c>
      <c r="B118" s="398" t="s">
        <v>1480</v>
      </c>
      <c r="C118" s="399"/>
      <c r="D118" s="236">
        <f aca="true" t="shared" si="59" ref="D118:D123">SUM(E118:L118)</f>
        <v>0</v>
      </c>
      <c r="E118" s="237">
        <f aca="true" t="shared" si="60" ref="E118:L118">SUM(E119:E121)</f>
        <v>0</v>
      </c>
      <c r="F118" s="238">
        <f t="shared" si="60"/>
        <v>0</v>
      </c>
      <c r="G118" s="238">
        <f t="shared" si="60"/>
        <v>0</v>
      </c>
      <c r="H118" s="238">
        <f t="shared" si="60"/>
        <v>0</v>
      </c>
      <c r="I118" s="238">
        <f t="shared" si="60"/>
        <v>0</v>
      </c>
      <c r="J118" s="238">
        <f t="shared" si="60"/>
        <v>0</v>
      </c>
      <c r="K118" s="238">
        <f t="shared" si="60"/>
        <v>0</v>
      </c>
      <c r="L118" s="238">
        <f t="shared" si="60"/>
        <v>0</v>
      </c>
      <c r="M118" s="236">
        <f aca="true" t="shared" si="61" ref="M118:M125">SUM(N118:U118)</f>
        <v>123751619</v>
      </c>
      <c r="N118" s="237">
        <f aca="true" t="shared" si="62" ref="N118:U118">SUM(N119:N121)</f>
        <v>0</v>
      </c>
      <c r="O118" s="238">
        <f t="shared" si="62"/>
        <v>0</v>
      </c>
      <c r="P118" s="238">
        <f t="shared" si="62"/>
        <v>0</v>
      </c>
      <c r="Q118" s="238">
        <f t="shared" si="62"/>
        <v>0</v>
      </c>
      <c r="R118" s="238">
        <f t="shared" si="62"/>
        <v>123751619</v>
      </c>
      <c r="S118" s="238">
        <f t="shared" si="62"/>
        <v>0</v>
      </c>
      <c r="T118" s="238">
        <f t="shared" si="62"/>
        <v>0</v>
      </c>
      <c r="U118" s="238">
        <f t="shared" si="62"/>
        <v>0</v>
      </c>
    </row>
    <row r="119" spans="1:21" s="11" customFormat="1" ht="18">
      <c r="A119" s="400"/>
      <c r="B119" s="6" t="s">
        <v>1486</v>
      </c>
      <c r="C119" s="9" t="s">
        <v>39</v>
      </c>
      <c r="D119" s="7">
        <f t="shared" si="59"/>
        <v>0</v>
      </c>
      <c r="E119" s="240">
        <f>'5.19. Céltartalék'!E14</f>
        <v>0</v>
      </c>
      <c r="F119" s="241">
        <f>'5.19. Céltartalék'!F14</f>
        <v>0</v>
      </c>
      <c r="G119" s="241">
        <f>'5.19. Céltartalék'!G14</f>
        <v>0</v>
      </c>
      <c r="H119" s="241">
        <f>'5.19. Céltartalék'!H14</f>
        <v>0</v>
      </c>
      <c r="I119" s="241">
        <v>0</v>
      </c>
      <c r="J119" s="241">
        <f>'5.19. Céltartalék'!J14</f>
        <v>0</v>
      </c>
      <c r="K119" s="241">
        <f>'5.19. Céltartalék'!K14</f>
        <v>0</v>
      </c>
      <c r="L119" s="241">
        <f>'5.19. Céltartalék'!L14</f>
        <v>0</v>
      </c>
      <c r="M119" s="7">
        <f t="shared" si="61"/>
        <v>0</v>
      </c>
      <c r="N119" s="240">
        <f>'5.19. Céltartalék'!N14</f>
        <v>0</v>
      </c>
      <c r="O119" s="241">
        <f>'5.19. Céltartalék'!O14</f>
        <v>0</v>
      </c>
      <c r="P119" s="241">
        <f>'5.19. Céltartalék'!P14</f>
        <v>0</v>
      </c>
      <c r="Q119" s="241">
        <f>'5.19. Céltartalék'!Q14</f>
        <v>0</v>
      </c>
      <c r="R119" s="241">
        <v>0</v>
      </c>
      <c r="S119" s="241">
        <f>'5.19. Céltartalék'!S14</f>
        <v>0</v>
      </c>
      <c r="T119" s="241">
        <f>'5.19. Céltartalék'!T14</f>
        <v>0</v>
      </c>
      <c r="U119" s="241">
        <f>'5.19. Céltartalék'!U14</f>
        <v>0</v>
      </c>
    </row>
    <row r="120" spans="1:21" s="11" customFormat="1" ht="18">
      <c r="A120" s="401"/>
      <c r="B120" s="6" t="s">
        <v>1487</v>
      </c>
      <c r="C120" s="9" t="s">
        <v>41</v>
      </c>
      <c r="D120" s="7">
        <f t="shared" si="59"/>
        <v>0</v>
      </c>
      <c r="E120" s="243">
        <f>'5.19. Céltartalék'!E27</f>
        <v>0</v>
      </c>
      <c r="F120" s="244">
        <f>'5.19. Céltartalék'!F27</f>
        <v>0</v>
      </c>
      <c r="G120" s="244">
        <f>'5.19. Céltartalék'!G27</f>
        <v>0</v>
      </c>
      <c r="H120" s="244">
        <f>'5.19. Céltartalék'!H27</f>
        <v>0</v>
      </c>
      <c r="I120" s="244">
        <f>'5.19. Céltartalék'!I27</f>
        <v>0</v>
      </c>
      <c r="J120" s="244">
        <f>'5.19. Céltartalék'!J27</f>
        <v>0</v>
      </c>
      <c r="K120" s="244">
        <f>'5.19. Céltartalék'!K27</f>
        <v>0</v>
      </c>
      <c r="L120" s="244">
        <f>'5.19. Céltartalék'!L27</f>
        <v>0</v>
      </c>
      <c r="M120" s="7">
        <f t="shared" si="61"/>
        <v>123751619</v>
      </c>
      <c r="N120" s="243">
        <f>'5.19. Céltartalék'!N27</f>
        <v>0</v>
      </c>
      <c r="O120" s="244">
        <f>'5.19. Céltartalék'!O27</f>
        <v>0</v>
      </c>
      <c r="P120" s="244">
        <f>'5.19. Céltartalék'!P27</f>
        <v>0</v>
      </c>
      <c r="Q120" s="244">
        <f>'5.19. Céltartalék'!Q27</f>
        <v>0</v>
      </c>
      <c r="R120" s="244">
        <v>123751619</v>
      </c>
      <c r="S120" s="244">
        <f>'5.19. Céltartalék'!S27</f>
        <v>0</v>
      </c>
      <c r="T120" s="244">
        <f>'5.19. Céltartalék'!T27</f>
        <v>0</v>
      </c>
      <c r="U120" s="244">
        <f>'5.19. Céltartalék'!U27</f>
        <v>0</v>
      </c>
    </row>
    <row r="121" spans="1:21" s="11" customFormat="1" ht="18.75" thickBot="1">
      <c r="A121" s="402"/>
      <c r="B121" s="253" t="s">
        <v>1488</v>
      </c>
      <c r="C121" s="239" t="s">
        <v>43</v>
      </c>
      <c r="D121" s="251">
        <f t="shared" si="59"/>
        <v>0</v>
      </c>
      <c r="E121" s="254">
        <f>'5.19. Céltartalék'!E28</f>
        <v>0</v>
      </c>
      <c r="F121" s="255">
        <f>'5.19. Céltartalék'!F28</f>
        <v>0</v>
      </c>
      <c r="G121" s="255">
        <f>'5.19. Céltartalék'!G28</f>
        <v>0</v>
      </c>
      <c r="H121" s="255">
        <f>'5.19. Céltartalék'!H28</f>
        <v>0</v>
      </c>
      <c r="I121" s="255">
        <f>'5.19. Céltartalék'!I28</f>
        <v>0</v>
      </c>
      <c r="J121" s="255">
        <f>'5.19. Céltartalék'!J28</f>
        <v>0</v>
      </c>
      <c r="K121" s="255">
        <f>'5.19. Céltartalék'!K28</f>
        <v>0</v>
      </c>
      <c r="L121" s="255">
        <f>'5.19. Céltartalék'!L28</f>
        <v>0</v>
      </c>
      <c r="M121" s="251">
        <f t="shared" si="61"/>
        <v>0</v>
      </c>
      <c r="N121" s="254">
        <f>'5.19. Céltartalék'!N28</f>
        <v>0</v>
      </c>
      <c r="O121" s="255">
        <f>'5.19. Céltartalék'!O28</f>
        <v>0</v>
      </c>
      <c r="P121" s="255">
        <f>'5.19. Céltartalék'!P28</f>
        <v>0</v>
      </c>
      <c r="Q121" s="255">
        <f>'5.19. Céltartalék'!Q28</f>
        <v>0</v>
      </c>
      <c r="R121" s="255">
        <f>'5.19. Céltartalék'!R28</f>
        <v>0</v>
      </c>
      <c r="S121" s="255">
        <f>'5.19. Céltartalék'!S28</f>
        <v>0</v>
      </c>
      <c r="T121" s="255">
        <f>'5.19. Céltartalék'!T28</f>
        <v>0</v>
      </c>
      <c r="U121" s="255">
        <f>'5.19. Céltartalék'!U28</f>
        <v>0</v>
      </c>
    </row>
    <row r="122" spans="1:21" s="11" customFormat="1" ht="33.75" customHeight="1">
      <c r="A122" s="403" t="s">
        <v>1481</v>
      </c>
      <c r="B122" s="403"/>
      <c r="C122" s="403"/>
      <c r="D122" s="347">
        <f t="shared" si="59"/>
        <v>110300271493</v>
      </c>
      <c r="E122" s="348">
        <f>SUM(E123:E125)</f>
        <v>390381706</v>
      </c>
      <c r="F122" s="348">
        <f aca="true" t="shared" si="63" ref="F122:L122">SUM(F123:F125)</f>
        <v>80687196</v>
      </c>
      <c r="G122" s="348">
        <f t="shared" si="63"/>
        <v>28084367183</v>
      </c>
      <c r="H122" s="348">
        <f t="shared" si="63"/>
        <v>382526606</v>
      </c>
      <c r="I122" s="348">
        <f t="shared" si="63"/>
        <v>8124675586</v>
      </c>
      <c r="J122" s="348">
        <f t="shared" si="63"/>
        <v>67605122620</v>
      </c>
      <c r="K122" s="348">
        <f t="shared" si="63"/>
        <v>4825974722</v>
      </c>
      <c r="L122" s="348">
        <f t="shared" si="63"/>
        <v>806535874</v>
      </c>
      <c r="M122" s="347">
        <f t="shared" si="61"/>
        <v>118192702046</v>
      </c>
      <c r="N122" s="348">
        <f>SUM(N123:N125)</f>
        <v>382550346</v>
      </c>
      <c r="O122" s="348">
        <f aca="true" t="shared" si="64" ref="O122:U122">SUM(O123:O125)</f>
        <v>77788496</v>
      </c>
      <c r="P122" s="348">
        <f t="shared" si="64"/>
        <v>35983192173</v>
      </c>
      <c r="Q122" s="348">
        <f t="shared" si="64"/>
        <v>367200271</v>
      </c>
      <c r="R122" s="348">
        <f t="shared" si="64"/>
        <v>10326634632</v>
      </c>
      <c r="S122" s="348">
        <f t="shared" si="64"/>
        <v>64887691928</v>
      </c>
      <c r="T122" s="348">
        <f t="shared" si="64"/>
        <v>4770320955</v>
      </c>
      <c r="U122" s="348">
        <f t="shared" si="64"/>
        <v>1397323245</v>
      </c>
    </row>
    <row r="123" spans="1:21" ht="18" customHeight="1">
      <c r="A123" s="396" t="s">
        <v>174</v>
      </c>
      <c r="B123" s="397"/>
      <c r="C123" s="397"/>
      <c r="D123" s="106">
        <f t="shared" si="59"/>
        <v>24806906996</v>
      </c>
      <c r="E123" s="107">
        <f aca="true" t="shared" si="65" ref="E123:L125">E11+E15+E19+E27+E31+E35+E39+E43+E47+E51+E55+E59+E63+E67+E71+E75+E79+E83+E87+E91+E95+E99+E103+E107+E111+E115+E23+E119</f>
        <v>303836408</v>
      </c>
      <c r="F123" s="107">
        <f t="shared" si="65"/>
        <v>57052446</v>
      </c>
      <c r="G123" s="107">
        <f t="shared" si="65"/>
        <v>10470981438</v>
      </c>
      <c r="H123" s="107">
        <f t="shared" si="65"/>
        <v>185192006</v>
      </c>
      <c r="I123" s="107">
        <f t="shared" si="65"/>
        <v>7682577804</v>
      </c>
      <c r="J123" s="107">
        <f t="shared" si="65"/>
        <v>5058803153</v>
      </c>
      <c r="K123" s="107">
        <f t="shared" si="65"/>
        <v>356451741</v>
      </c>
      <c r="L123" s="107">
        <f t="shared" si="65"/>
        <v>692012000</v>
      </c>
      <c r="M123" s="106">
        <f t="shared" si="61"/>
        <v>29452869560</v>
      </c>
      <c r="N123" s="107">
        <f aca="true" t="shared" si="66" ref="N123:U125">N11+N15+N19+N27+N31+N35+N39+N43+N47+N51+N55+N59+N63+N67+N71+N75+N79+N83+N87+N91+N95+N99+N103+N107+N111+N115+N23+N119</f>
        <v>308532897</v>
      </c>
      <c r="O123" s="107">
        <f t="shared" si="66"/>
        <v>56601213</v>
      </c>
      <c r="P123" s="107">
        <f t="shared" si="66"/>
        <v>13031040277</v>
      </c>
      <c r="Q123" s="107">
        <f t="shared" si="66"/>
        <v>174865671</v>
      </c>
      <c r="R123" s="107">
        <f t="shared" si="66"/>
        <v>9800799909</v>
      </c>
      <c r="S123" s="107">
        <f t="shared" si="66"/>
        <v>5320970711</v>
      </c>
      <c r="T123" s="107">
        <f t="shared" si="66"/>
        <v>403249967</v>
      </c>
      <c r="U123" s="256">
        <f t="shared" si="66"/>
        <v>356808915</v>
      </c>
    </row>
    <row r="124" spans="1:21" ht="18" customHeight="1">
      <c r="A124" s="396" t="s">
        <v>175</v>
      </c>
      <c r="B124" s="397"/>
      <c r="C124" s="397"/>
      <c r="D124" s="106">
        <f t="shared" si="37"/>
        <v>85492364497</v>
      </c>
      <c r="E124" s="107">
        <f t="shared" si="65"/>
        <v>86545298</v>
      </c>
      <c r="F124" s="107">
        <f t="shared" si="65"/>
        <v>23634750</v>
      </c>
      <c r="G124" s="107">
        <f t="shared" si="65"/>
        <v>17612385745</v>
      </c>
      <c r="H124" s="107">
        <f t="shared" si="65"/>
        <v>197334600</v>
      </c>
      <c r="I124" s="107">
        <f t="shared" si="65"/>
        <v>442097782</v>
      </c>
      <c r="J124" s="107">
        <f t="shared" si="65"/>
        <v>62546319467</v>
      </c>
      <c r="K124" s="107">
        <f t="shared" si="65"/>
        <v>4469522981</v>
      </c>
      <c r="L124" s="107">
        <f t="shared" si="65"/>
        <v>114523874</v>
      </c>
      <c r="M124" s="106">
        <f t="shared" si="61"/>
        <v>88739832486</v>
      </c>
      <c r="N124" s="107">
        <f t="shared" si="66"/>
        <v>74017449</v>
      </c>
      <c r="O124" s="107">
        <f t="shared" si="66"/>
        <v>21187283</v>
      </c>
      <c r="P124" s="107">
        <f t="shared" si="66"/>
        <v>22952151896</v>
      </c>
      <c r="Q124" s="107">
        <f t="shared" si="66"/>
        <v>192334600</v>
      </c>
      <c r="R124" s="107">
        <f t="shared" si="66"/>
        <v>525834723</v>
      </c>
      <c r="S124" s="107">
        <f t="shared" si="66"/>
        <v>59566721217</v>
      </c>
      <c r="T124" s="107">
        <f t="shared" si="66"/>
        <v>4367070988</v>
      </c>
      <c r="U124" s="107">
        <f t="shared" si="66"/>
        <v>1040514330</v>
      </c>
    </row>
    <row r="125" spans="1:21" ht="18" customHeight="1" thickBot="1">
      <c r="A125" s="391" t="s">
        <v>176</v>
      </c>
      <c r="B125" s="392"/>
      <c r="C125" s="392"/>
      <c r="D125" s="257">
        <f t="shared" si="37"/>
        <v>1000000</v>
      </c>
      <c r="E125" s="258">
        <f t="shared" si="65"/>
        <v>0</v>
      </c>
      <c r="F125" s="258">
        <f t="shared" si="65"/>
        <v>0</v>
      </c>
      <c r="G125" s="258">
        <f t="shared" si="65"/>
        <v>1000000</v>
      </c>
      <c r="H125" s="258">
        <f t="shared" si="65"/>
        <v>0</v>
      </c>
      <c r="I125" s="258">
        <f t="shared" si="65"/>
        <v>0</v>
      </c>
      <c r="J125" s="258">
        <f t="shared" si="65"/>
        <v>0</v>
      </c>
      <c r="K125" s="258">
        <f t="shared" si="65"/>
        <v>0</v>
      </c>
      <c r="L125" s="258">
        <f t="shared" si="65"/>
        <v>0</v>
      </c>
      <c r="M125" s="257">
        <f t="shared" si="61"/>
        <v>0</v>
      </c>
      <c r="N125" s="258">
        <f t="shared" si="66"/>
        <v>0</v>
      </c>
      <c r="O125" s="258">
        <f t="shared" si="66"/>
        <v>0</v>
      </c>
      <c r="P125" s="258">
        <f t="shared" si="66"/>
        <v>0</v>
      </c>
      <c r="Q125" s="258">
        <f t="shared" si="66"/>
        <v>0</v>
      </c>
      <c r="R125" s="258">
        <f t="shared" si="66"/>
        <v>0</v>
      </c>
      <c r="S125" s="258">
        <f t="shared" si="66"/>
        <v>0</v>
      </c>
      <c r="T125" s="258">
        <f t="shared" si="66"/>
        <v>0</v>
      </c>
      <c r="U125" s="258">
        <f t="shared" si="66"/>
        <v>0</v>
      </c>
    </row>
    <row r="126" spans="4:18" ht="28.5" customHeight="1" thickBot="1">
      <c r="D126" s="12"/>
      <c r="G126" s="259"/>
      <c r="H126" s="260"/>
      <c r="I126" s="132"/>
      <c r="M126" s="12"/>
      <c r="P126" s="259"/>
      <c r="Q126" s="260"/>
      <c r="R126" s="132"/>
    </row>
    <row r="127" spans="7:20" ht="20.25">
      <c r="G127" s="259"/>
      <c r="H127" s="54"/>
      <c r="I127" s="65"/>
      <c r="N127" s="348">
        <v>376334907</v>
      </c>
      <c r="O127" s="348">
        <v>77883583</v>
      </c>
      <c r="P127" s="259"/>
      <c r="Q127" s="54"/>
      <c r="S127" s="348">
        <v>65457240442</v>
      </c>
      <c r="T127" s="348">
        <v>4772015964</v>
      </c>
    </row>
    <row r="128" spans="7:20" s="80" customFormat="1" ht="30.75" customHeight="1">
      <c r="G128" s="261"/>
      <c r="H128" s="262"/>
      <c r="I128" s="133"/>
      <c r="N128" s="80">
        <f>N127-N122</f>
        <v>-6215439</v>
      </c>
      <c r="O128" s="80">
        <f>O127-O122</f>
        <v>95087</v>
      </c>
      <c r="P128" s="261"/>
      <c r="Q128" s="262"/>
      <c r="R128" s="133"/>
      <c r="S128" s="80">
        <f>S127-S122</f>
        <v>569548514</v>
      </c>
      <c r="T128" s="80">
        <f>T127-T122</f>
        <v>1695009</v>
      </c>
    </row>
    <row r="129" s="80" customFormat="1" ht="23.25" customHeight="1"/>
    <row r="134" ht="12.75">
      <c r="J134" s="65"/>
    </row>
  </sheetData>
  <sheetProtection selectLockedCells="1" selectUnlockedCells="1"/>
  <mergeCells count="74">
    <mergeCell ref="A2:U2"/>
    <mergeCell ref="B18:C18"/>
    <mergeCell ref="A19:A21"/>
    <mergeCell ref="A1:U1"/>
    <mergeCell ref="A3:U3"/>
    <mergeCell ref="D7:D9"/>
    <mergeCell ref="E7:L7"/>
    <mergeCell ref="E8:I8"/>
    <mergeCell ref="A7:A9"/>
    <mergeCell ref="B7:B9"/>
    <mergeCell ref="C7:C9"/>
    <mergeCell ref="A15:A17"/>
    <mergeCell ref="N7:U7"/>
    <mergeCell ref="N8:R8"/>
    <mergeCell ref="S8:U8"/>
    <mergeCell ref="B10:C10"/>
    <mergeCell ref="A11:A13"/>
    <mergeCell ref="B14:C14"/>
    <mergeCell ref="M7:M9"/>
    <mergeCell ref="A43:A45"/>
    <mergeCell ref="B22:C22"/>
    <mergeCell ref="A23:A25"/>
    <mergeCell ref="B26:C26"/>
    <mergeCell ref="A27:A29"/>
    <mergeCell ref="B30:C30"/>
    <mergeCell ref="A31:A33"/>
    <mergeCell ref="B86:C86"/>
    <mergeCell ref="B58:C58"/>
    <mergeCell ref="A59:A61"/>
    <mergeCell ref="B62:C62"/>
    <mergeCell ref="A63:A65"/>
    <mergeCell ref="B34:C34"/>
    <mergeCell ref="A35:A37"/>
    <mergeCell ref="B38:C38"/>
    <mergeCell ref="A39:A41"/>
    <mergeCell ref="B42:C42"/>
    <mergeCell ref="B70:C70"/>
    <mergeCell ref="A71:A73"/>
    <mergeCell ref="B74:C74"/>
    <mergeCell ref="B46:C46"/>
    <mergeCell ref="A47:A49"/>
    <mergeCell ref="B50:C50"/>
    <mergeCell ref="B54:C54"/>
    <mergeCell ref="A55:A57"/>
    <mergeCell ref="A87:A89"/>
    <mergeCell ref="B106:C106"/>
    <mergeCell ref="J8:L8"/>
    <mergeCell ref="A103:A105"/>
    <mergeCell ref="B66:C66"/>
    <mergeCell ref="A67:A69"/>
    <mergeCell ref="B90:C90"/>
    <mergeCell ref="A91:A93"/>
    <mergeCell ref="B94:C94"/>
    <mergeCell ref="A95:A97"/>
    <mergeCell ref="A107:A109"/>
    <mergeCell ref="B78:C78"/>
    <mergeCell ref="A79:A81"/>
    <mergeCell ref="B82:C82"/>
    <mergeCell ref="A83:A85"/>
    <mergeCell ref="A51:A53"/>
    <mergeCell ref="B102:C102"/>
    <mergeCell ref="B98:C98"/>
    <mergeCell ref="A75:A77"/>
    <mergeCell ref="A99:A101"/>
    <mergeCell ref="A125:C125"/>
    <mergeCell ref="B110:C110"/>
    <mergeCell ref="A111:A113"/>
    <mergeCell ref="B114:C114"/>
    <mergeCell ref="A115:A117"/>
    <mergeCell ref="A123:C123"/>
    <mergeCell ref="B118:C118"/>
    <mergeCell ref="A119:A121"/>
    <mergeCell ref="A124:C124"/>
    <mergeCell ref="A122:C12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3"/>
  <sheetViews>
    <sheetView view="pageBreakPreview" zoomScale="75" zoomScaleNormal="75" zoomScaleSheetLayoutView="75" zoomScalePageLayoutView="0" workbookViewId="0" topLeftCell="A1">
      <selection activeCell="A1" sqref="A1:V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7.57421875" style="0" customWidth="1"/>
    <col min="4" max="4" width="21.57421875" style="0" customWidth="1"/>
    <col min="5" max="5" width="14.57421875" style="0" customWidth="1"/>
    <col min="6" max="6" width="16.57421875" style="0" customWidth="1"/>
    <col min="7" max="7" width="15.7109375" style="0" customWidth="1"/>
    <col min="8" max="12" width="14.57421875" style="0" customWidth="1"/>
    <col min="13" max="13" width="20.00390625" style="0" customWidth="1"/>
    <col min="14" max="14" width="14.57421875" style="0" customWidth="1"/>
    <col min="15" max="15" width="16.57421875" style="0" customWidth="1"/>
    <col min="16" max="16" width="15.7109375" style="0" customWidth="1"/>
    <col min="17" max="21" width="14.57421875" style="0" customWidth="1"/>
    <col min="22" max="22" width="16.140625" style="0" customWidth="1"/>
  </cols>
  <sheetData>
    <row r="1" spans="1:22" ht="18">
      <c r="A1" s="431" t="s">
        <v>1544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</row>
    <row r="2" spans="1:22" ht="18">
      <c r="A2" s="416" t="s">
        <v>1517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</row>
    <row r="3" spans="1:22" ht="18" customHeight="1">
      <c r="A3" s="496" t="s">
        <v>418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</row>
    <row r="4" spans="1:22" ht="18">
      <c r="A4" s="497" t="s">
        <v>419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V5" s="111" t="s">
        <v>0</v>
      </c>
    </row>
    <row r="6" spans="1:22" ht="18" customHeight="1">
      <c r="A6" s="144" t="s">
        <v>1</v>
      </c>
      <c r="B6" s="144" t="s">
        <v>2</v>
      </c>
      <c r="C6" s="144" t="s">
        <v>3</v>
      </c>
      <c r="D6" s="144" t="s">
        <v>4</v>
      </c>
      <c r="E6" s="144" t="s">
        <v>5</v>
      </c>
      <c r="F6" s="144" t="s">
        <v>6</v>
      </c>
      <c r="G6" s="144" t="s">
        <v>7</v>
      </c>
      <c r="H6" s="144" t="s">
        <v>8</v>
      </c>
      <c r="I6" s="144" t="s">
        <v>9</v>
      </c>
      <c r="J6" s="145" t="s">
        <v>10</v>
      </c>
      <c r="K6" s="144" t="s">
        <v>11</v>
      </c>
      <c r="L6" s="146" t="s">
        <v>12</v>
      </c>
      <c r="M6" s="144" t="s">
        <v>13</v>
      </c>
      <c r="N6" s="144" t="s">
        <v>14</v>
      </c>
      <c r="O6" s="144" t="s">
        <v>15</v>
      </c>
      <c r="P6" s="144" t="s">
        <v>16</v>
      </c>
      <c r="Q6" s="144" t="s">
        <v>17</v>
      </c>
      <c r="R6" s="144" t="s">
        <v>18</v>
      </c>
      <c r="S6" s="145" t="s">
        <v>19</v>
      </c>
      <c r="T6" s="144" t="s">
        <v>20</v>
      </c>
      <c r="U6" s="146" t="s">
        <v>21</v>
      </c>
      <c r="V6" s="127" t="s">
        <v>179</v>
      </c>
    </row>
    <row r="7" spans="1:22" ht="12.75" customHeight="1">
      <c r="A7" s="413" t="s">
        <v>23</v>
      </c>
      <c r="B7" s="413" t="s">
        <v>183</v>
      </c>
      <c r="C7" s="406" t="s">
        <v>24</v>
      </c>
      <c r="D7" s="406" t="s">
        <v>1262</v>
      </c>
      <c r="E7" s="455" t="s">
        <v>25</v>
      </c>
      <c r="F7" s="455"/>
      <c r="G7" s="455"/>
      <c r="H7" s="455"/>
      <c r="I7" s="455"/>
      <c r="J7" s="455"/>
      <c r="K7" s="455"/>
      <c r="L7" s="456"/>
      <c r="M7" s="406" t="s">
        <v>1467</v>
      </c>
      <c r="N7" s="462" t="s">
        <v>1466</v>
      </c>
      <c r="O7" s="462"/>
      <c r="P7" s="462"/>
      <c r="Q7" s="462"/>
      <c r="R7" s="462"/>
      <c r="S7" s="462"/>
      <c r="T7" s="462"/>
      <c r="U7" s="462"/>
      <c r="V7" s="507" t="s">
        <v>1012</v>
      </c>
    </row>
    <row r="8" spans="1:22" ht="12.75" customHeight="1">
      <c r="A8" s="413"/>
      <c r="B8" s="413"/>
      <c r="C8" s="406"/>
      <c r="D8" s="406"/>
      <c r="E8" s="405" t="s">
        <v>26</v>
      </c>
      <c r="F8" s="405"/>
      <c r="G8" s="405"/>
      <c r="H8" s="405"/>
      <c r="I8" s="405"/>
      <c r="J8" s="405" t="s">
        <v>27</v>
      </c>
      <c r="K8" s="405"/>
      <c r="L8" s="457"/>
      <c r="M8" s="406"/>
      <c r="N8" s="405" t="s">
        <v>26</v>
      </c>
      <c r="O8" s="405"/>
      <c r="P8" s="405"/>
      <c r="Q8" s="405"/>
      <c r="R8" s="405"/>
      <c r="S8" s="405" t="s">
        <v>27</v>
      </c>
      <c r="T8" s="405"/>
      <c r="U8" s="457"/>
      <c r="V8" s="508"/>
    </row>
    <row r="9" spans="1:22" ht="75" customHeight="1">
      <c r="A9" s="413"/>
      <c r="B9" s="413"/>
      <c r="C9" s="406"/>
      <c r="D9" s="406"/>
      <c r="E9" s="5" t="s">
        <v>28</v>
      </c>
      <c r="F9" s="5" t="s">
        <v>29</v>
      </c>
      <c r="G9" s="5" t="s">
        <v>30</v>
      </c>
      <c r="H9" s="5" t="s">
        <v>31</v>
      </c>
      <c r="I9" s="5" t="s">
        <v>32</v>
      </c>
      <c r="J9" s="5" t="s">
        <v>33</v>
      </c>
      <c r="K9" s="5" t="s">
        <v>34</v>
      </c>
      <c r="L9" s="114" t="s">
        <v>35</v>
      </c>
      <c r="M9" s="406"/>
      <c r="N9" s="5" t="s">
        <v>28</v>
      </c>
      <c r="O9" s="5" t="s">
        <v>29</v>
      </c>
      <c r="P9" s="5" t="s">
        <v>30</v>
      </c>
      <c r="Q9" s="5" t="s">
        <v>31</v>
      </c>
      <c r="R9" s="5" t="s">
        <v>32</v>
      </c>
      <c r="S9" s="5" t="s">
        <v>33</v>
      </c>
      <c r="T9" s="5" t="s">
        <v>34</v>
      </c>
      <c r="U9" s="114" t="s">
        <v>35</v>
      </c>
      <c r="V9" s="508"/>
    </row>
    <row r="10" spans="1:22" s="66" customFormat="1" ht="18">
      <c r="A10" s="56" t="s">
        <v>86</v>
      </c>
      <c r="B10" s="56"/>
      <c r="C10" s="57" t="s">
        <v>39</v>
      </c>
      <c r="D10" s="10">
        <f>SUM(E10:L10)</f>
        <v>91532036</v>
      </c>
      <c r="E10" s="58">
        <f aca="true" t="shared" si="0" ref="E10:L10">SUM(E11:E16)</f>
        <v>0</v>
      </c>
      <c r="F10" s="58">
        <f t="shared" si="0"/>
        <v>0</v>
      </c>
      <c r="G10" s="58">
        <f t="shared" si="0"/>
        <v>17900000</v>
      </c>
      <c r="H10" s="58">
        <f t="shared" si="0"/>
        <v>732036</v>
      </c>
      <c r="I10" s="58">
        <f t="shared" si="0"/>
        <v>12900000</v>
      </c>
      <c r="J10" s="58">
        <f t="shared" si="0"/>
        <v>0</v>
      </c>
      <c r="K10" s="58">
        <f t="shared" si="0"/>
        <v>0</v>
      </c>
      <c r="L10" s="64">
        <f t="shared" si="0"/>
        <v>60000000</v>
      </c>
      <c r="M10" s="10">
        <f>SUM(N10:U10)</f>
        <v>90791036</v>
      </c>
      <c r="N10" s="58">
        <f aca="true" t="shared" si="1" ref="N10:U10">SUM(N11:N16)</f>
        <v>0</v>
      </c>
      <c r="O10" s="58">
        <f t="shared" si="1"/>
        <v>0</v>
      </c>
      <c r="P10" s="58">
        <f t="shared" si="1"/>
        <v>20059000</v>
      </c>
      <c r="Q10" s="58">
        <f t="shared" si="1"/>
        <v>732036</v>
      </c>
      <c r="R10" s="58">
        <f t="shared" si="1"/>
        <v>10000000</v>
      </c>
      <c r="S10" s="58">
        <f t="shared" si="1"/>
        <v>0</v>
      </c>
      <c r="T10" s="58">
        <f t="shared" si="1"/>
        <v>0</v>
      </c>
      <c r="U10" s="64">
        <f t="shared" si="1"/>
        <v>60000000</v>
      </c>
      <c r="V10" s="509"/>
    </row>
    <row r="11" spans="1:22" ht="30">
      <c r="A11" s="6"/>
      <c r="B11" s="6" t="s">
        <v>420</v>
      </c>
      <c r="C11" s="9" t="s">
        <v>952</v>
      </c>
      <c r="D11" s="52">
        <f aca="true" t="shared" si="2" ref="D11:D20">SUM(E11:L11)</f>
        <v>732036</v>
      </c>
      <c r="E11" s="53">
        <v>0</v>
      </c>
      <c r="F11" s="53">
        <v>0</v>
      </c>
      <c r="G11" s="53">
        <v>0</v>
      </c>
      <c r="H11" s="53">
        <v>732036</v>
      </c>
      <c r="I11" s="53">
        <v>0</v>
      </c>
      <c r="J11" s="53">
        <v>0</v>
      </c>
      <c r="K11" s="53">
        <v>0</v>
      </c>
      <c r="L11" s="115">
        <v>0</v>
      </c>
      <c r="M11" s="52">
        <f>SUM(N11:U11)</f>
        <v>732036</v>
      </c>
      <c r="N11" s="53">
        <v>0</v>
      </c>
      <c r="O11" s="53">
        <v>0</v>
      </c>
      <c r="P11" s="53">
        <v>0</v>
      </c>
      <c r="Q11" s="53">
        <v>732036</v>
      </c>
      <c r="R11" s="53">
        <v>0</v>
      </c>
      <c r="S11" s="53">
        <v>0</v>
      </c>
      <c r="T11" s="53">
        <v>0</v>
      </c>
      <c r="U11" s="115">
        <v>0</v>
      </c>
      <c r="V11" s="134" t="s">
        <v>1118</v>
      </c>
    </row>
    <row r="12" spans="1:22" ht="30">
      <c r="A12" s="6"/>
      <c r="B12" s="6" t="s">
        <v>421</v>
      </c>
      <c r="C12" s="9" t="s">
        <v>422</v>
      </c>
      <c r="D12" s="52">
        <f t="shared" si="2"/>
        <v>17900000</v>
      </c>
      <c r="E12" s="53">
        <v>0</v>
      </c>
      <c r="F12" s="53">
        <v>0</v>
      </c>
      <c r="G12" s="53">
        <v>17900000</v>
      </c>
      <c r="H12" s="53">
        <v>0</v>
      </c>
      <c r="I12" s="53">
        <v>0</v>
      </c>
      <c r="J12" s="53">
        <v>0</v>
      </c>
      <c r="K12" s="53">
        <v>0</v>
      </c>
      <c r="L12" s="115">
        <v>0</v>
      </c>
      <c r="M12" s="52">
        <f>SUM(N12:U12)</f>
        <v>17900000</v>
      </c>
      <c r="N12" s="53">
        <v>0</v>
      </c>
      <c r="O12" s="53">
        <v>0</v>
      </c>
      <c r="P12" s="53">
        <v>17900000</v>
      </c>
      <c r="Q12" s="53">
        <v>0</v>
      </c>
      <c r="R12" s="53">
        <v>0</v>
      </c>
      <c r="S12" s="53">
        <v>0</v>
      </c>
      <c r="T12" s="53">
        <v>0</v>
      </c>
      <c r="U12" s="115">
        <v>0</v>
      </c>
      <c r="V12" s="134" t="s">
        <v>1119</v>
      </c>
    </row>
    <row r="13" spans="1:22" ht="60">
      <c r="A13" s="6"/>
      <c r="B13" s="6" t="s">
        <v>423</v>
      </c>
      <c r="C13" s="9" t="s">
        <v>957</v>
      </c>
      <c r="D13" s="52">
        <f>SUM(E13:L13)</f>
        <v>60000000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115">
        <v>60000000</v>
      </c>
      <c r="M13" s="52">
        <f>SUM(N13:U13)</f>
        <v>60000000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115">
        <v>60000000</v>
      </c>
      <c r="V13" s="134" t="s">
        <v>1120</v>
      </c>
    </row>
    <row r="14" spans="1:22" ht="75">
      <c r="A14" s="6"/>
      <c r="B14" s="6" t="s">
        <v>424</v>
      </c>
      <c r="C14" s="9" t="s">
        <v>1437</v>
      </c>
      <c r="D14" s="52">
        <f t="shared" si="2"/>
        <v>10000000</v>
      </c>
      <c r="E14" s="53">
        <v>0</v>
      </c>
      <c r="F14" s="53">
        <v>0</v>
      </c>
      <c r="G14" s="53">
        <v>0</v>
      </c>
      <c r="H14" s="53">
        <v>0</v>
      </c>
      <c r="I14" s="53">
        <v>10000000</v>
      </c>
      <c r="J14" s="53">
        <v>0</v>
      </c>
      <c r="K14" s="53">
        <v>0</v>
      </c>
      <c r="L14" s="115">
        <v>0</v>
      </c>
      <c r="M14" s="52">
        <f aca="true" t="shared" si="3" ref="M14:M20">SUM(N14:U14)</f>
        <v>10000000</v>
      </c>
      <c r="N14" s="53">
        <v>0</v>
      </c>
      <c r="O14" s="53">
        <v>0</v>
      </c>
      <c r="P14" s="53">
        <v>0</v>
      </c>
      <c r="Q14" s="53">
        <v>0</v>
      </c>
      <c r="R14" s="53">
        <v>10000000</v>
      </c>
      <c r="S14" s="53">
        <v>0</v>
      </c>
      <c r="T14" s="53">
        <v>0</v>
      </c>
      <c r="U14" s="115">
        <v>0</v>
      </c>
      <c r="V14" s="134" t="s">
        <v>1121</v>
      </c>
    </row>
    <row r="15" spans="1:22" ht="18">
      <c r="A15" s="6"/>
      <c r="B15" s="6" t="s">
        <v>425</v>
      </c>
      <c r="C15" s="9" t="s">
        <v>707</v>
      </c>
      <c r="D15" s="52">
        <f t="shared" si="2"/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115">
        <v>0</v>
      </c>
      <c r="M15" s="52">
        <f t="shared" si="3"/>
        <v>2159000</v>
      </c>
      <c r="N15" s="53">
        <v>0</v>
      </c>
      <c r="O15" s="53">
        <v>0</v>
      </c>
      <c r="P15" s="53">
        <v>2159000</v>
      </c>
      <c r="Q15" s="53">
        <v>0</v>
      </c>
      <c r="R15" s="53">
        <v>0</v>
      </c>
      <c r="S15" s="53">
        <v>0</v>
      </c>
      <c r="T15" s="53">
        <v>0</v>
      </c>
      <c r="U15" s="115">
        <v>0</v>
      </c>
      <c r="V15" s="134" t="s">
        <v>1122</v>
      </c>
    </row>
    <row r="16" spans="1:22" ht="18">
      <c r="A16" s="6"/>
      <c r="B16" s="6" t="s">
        <v>426</v>
      </c>
      <c r="C16" s="9" t="s">
        <v>953</v>
      </c>
      <c r="D16" s="52">
        <f t="shared" si="2"/>
        <v>2900000</v>
      </c>
      <c r="E16" s="53">
        <v>0</v>
      </c>
      <c r="F16" s="53">
        <v>0</v>
      </c>
      <c r="G16" s="53">
        <v>0</v>
      </c>
      <c r="H16" s="53">
        <v>0</v>
      </c>
      <c r="I16" s="53">
        <v>2900000</v>
      </c>
      <c r="J16" s="53">
        <v>0</v>
      </c>
      <c r="K16" s="53">
        <v>0</v>
      </c>
      <c r="L16" s="115">
        <v>0</v>
      </c>
      <c r="M16" s="52">
        <f t="shared" si="3"/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115">
        <v>0</v>
      </c>
      <c r="V16" s="134" t="s">
        <v>1123</v>
      </c>
    </row>
    <row r="17" spans="1:22" s="66" customFormat="1" ht="18">
      <c r="A17" s="56" t="s">
        <v>87</v>
      </c>
      <c r="B17" s="56"/>
      <c r="C17" s="57" t="s">
        <v>41</v>
      </c>
      <c r="D17" s="10">
        <f t="shared" si="2"/>
        <v>1000000</v>
      </c>
      <c r="E17" s="58">
        <f aca="true" t="shared" si="4" ref="E17:U17">SUM(E18:E18)</f>
        <v>0</v>
      </c>
      <c r="F17" s="58">
        <f t="shared" si="4"/>
        <v>0</v>
      </c>
      <c r="G17" s="58">
        <f t="shared" si="4"/>
        <v>0</v>
      </c>
      <c r="H17" s="58">
        <f t="shared" si="4"/>
        <v>0</v>
      </c>
      <c r="I17" s="58">
        <f t="shared" si="4"/>
        <v>1000000</v>
      </c>
      <c r="J17" s="58">
        <f t="shared" si="4"/>
        <v>0</v>
      </c>
      <c r="K17" s="58">
        <f t="shared" si="4"/>
        <v>0</v>
      </c>
      <c r="L17" s="64">
        <f t="shared" si="4"/>
        <v>0</v>
      </c>
      <c r="M17" s="10">
        <f t="shared" si="3"/>
        <v>1000000</v>
      </c>
      <c r="N17" s="58">
        <f t="shared" si="4"/>
        <v>0</v>
      </c>
      <c r="O17" s="58">
        <f t="shared" si="4"/>
        <v>0</v>
      </c>
      <c r="P17" s="58">
        <f t="shared" si="4"/>
        <v>0</v>
      </c>
      <c r="Q17" s="58">
        <f t="shared" si="4"/>
        <v>0</v>
      </c>
      <c r="R17" s="58">
        <f t="shared" si="4"/>
        <v>1000000</v>
      </c>
      <c r="S17" s="58">
        <f t="shared" si="4"/>
        <v>0</v>
      </c>
      <c r="T17" s="58">
        <f t="shared" si="4"/>
        <v>0</v>
      </c>
      <c r="U17" s="64">
        <f t="shared" si="4"/>
        <v>0</v>
      </c>
      <c r="V17" s="134"/>
    </row>
    <row r="18" spans="1:22" ht="75">
      <c r="A18" s="6"/>
      <c r="B18" s="6" t="s">
        <v>427</v>
      </c>
      <c r="C18" s="9" t="s">
        <v>1010</v>
      </c>
      <c r="D18" s="52">
        <f t="shared" si="2"/>
        <v>1000000</v>
      </c>
      <c r="E18" s="53">
        <v>0</v>
      </c>
      <c r="F18" s="53">
        <v>0</v>
      </c>
      <c r="G18" s="53">
        <v>0</v>
      </c>
      <c r="H18" s="53">
        <v>0</v>
      </c>
      <c r="I18" s="53">
        <v>1000000</v>
      </c>
      <c r="J18" s="53">
        <v>0</v>
      </c>
      <c r="K18" s="53">
        <v>0</v>
      </c>
      <c r="L18" s="115">
        <v>0</v>
      </c>
      <c r="M18" s="52">
        <f t="shared" si="3"/>
        <v>1000000</v>
      </c>
      <c r="N18" s="53">
        <v>0</v>
      </c>
      <c r="O18" s="53">
        <v>0</v>
      </c>
      <c r="P18" s="53">
        <v>0</v>
      </c>
      <c r="Q18" s="53">
        <v>0</v>
      </c>
      <c r="R18" s="53">
        <v>1000000</v>
      </c>
      <c r="S18" s="53">
        <v>0</v>
      </c>
      <c r="T18" s="53">
        <v>0</v>
      </c>
      <c r="U18" s="115">
        <v>0</v>
      </c>
      <c r="V18" s="134">
        <v>54317</v>
      </c>
    </row>
    <row r="19" spans="1:22" s="66" customFormat="1" ht="18">
      <c r="A19" s="56" t="s">
        <v>88</v>
      </c>
      <c r="B19" s="56"/>
      <c r="C19" s="57" t="s">
        <v>43</v>
      </c>
      <c r="D19" s="10">
        <f t="shared" si="2"/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61">
        <v>0</v>
      </c>
      <c r="M19" s="10">
        <f t="shared" si="3"/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61">
        <v>0</v>
      </c>
      <c r="V19" s="128"/>
    </row>
    <row r="20" spans="1:22" ht="30.75" customHeight="1">
      <c r="A20" s="454" t="s">
        <v>286</v>
      </c>
      <c r="B20" s="454"/>
      <c r="C20" s="454"/>
      <c r="D20" s="10">
        <f t="shared" si="2"/>
        <v>92532036</v>
      </c>
      <c r="E20" s="58">
        <f aca="true" t="shared" si="5" ref="E20:L20">E10+E17+E19</f>
        <v>0</v>
      </c>
      <c r="F20" s="58">
        <f t="shared" si="5"/>
        <v>0</v>
      </c>
      <c r="G20" s="58">
        <f t="shared" si="5"/>
        <v>17900000</v>
      </c>
      <c r="H20" s="58">
        <f t="shared" si="5"/>
        <v>732036</v>
      </c>
      <c r="I20" s="58">
        <f t="shared" si="5"/>
        <v>13900000</v>
      </c>
      <c r="J20" s="58">
        <f t="shared" si="5"/>
        <v>0</v>
      </c>
      <c r="K20" s="58">
        <f t="shared" si="5"/>
        <v>0</v>
      </c>
      <c r="L20" s="64">
        <f t="shared" si="5"/>
        <v>60000000</v>
      </c>
      <c r="M20" s="10">
        <f t="shared" si="3"/>
        <v>91791036</v>
      </c>
      <c r="N20" s="58">
        <f aca="true" t="shared" si="6" ref="N20:U20">N10+N17+N19</f>
        <v>0</v>
      </c>
      <c r="O20" s="58">
        <f t="shared" si="6"/>
        <v>0</v>
      </c>
      <c r="P20" s="58">
        <f t="shared" si="6"/>
        <v>20059000</v>
      </c>
      <c r="Q20" s="58">
        <f t="shared" si="6"/>
        <v>732036</v>
      </c>
      <c r="R20" s="58">
        <f t="shared" si="6"/>
        <v>11000000</v>
      </c>
      <c r="S20" s="58">
        <f t="shared" si="6"/>
        <v>0</v>
      </c>
      <c r="T20" s="58">
        <f t="shared" si="6"/>
        <v>0</v>
      </c>
      <c r="U20" s="64">
        <f t="shared" si="6"/>
        <v>60000000</v>
      </c>
      <c r="V20" s="128"/>
    </row>
    <row r="22" spans="11:21" ht="12.75">
      <c r="K22" s="11"/>
      <c r="L22" s="11"/>
      <c r="T22" s="11"/>
      <c r="U22" s="11"/>
    </row>
    <row r="23" spans="11:21" ht="12.75">
      <c r="K23" s="11"/>
      <c r="L23" s="11" t="s">
        <v>428</v>
      </c>
      <c r="T23" s="11"/>
      <c r="U23" s="11" t="s">
        <v>428</v>
      </c>
    </row>
  </sheetData>
  <sheetProtection selectLockedCells="1" selectUnlockedCells="1"/>
  <mergeCells count="17">
    <mergeCell ref="A20:C20"/>
    <mergeCell ref="E8:I8"/>
    <mergeCell ref="J8:L8"/>
    <mergeCell ref="A7:A9"/>
    <mergeCell ref="B7:B9"/>
    <mergeCell ref="V7:V10"/>
    <mergeCell ref="E7:L7"/>
    <mergeCell ref="D7:D9"/>
    <mergeCell ref="S8:U8"/>
    <mergeCell ref="A1:V1"/>
    <mergeCell ref="A3:V3"/>
    <mergeCell ref="A4:V4"/>
    <mergeCell ref="M7:M9"/>
    <mergeCell ref="N7:U7"/>
    <mergeCell ref="N8:R8"/>
    <mergeCell ref="C7:C9"/>
    <mergeCell ref="A2:V2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2"/>
  <sheetViews>
    <sheetView view="pageBreakPreview" zoomScale="64" zoomScaleNormal="71" zoomScaleSheetLayoutView="64" zoomScalePageLayoutView="0" workbookViewId="0" topLeftCell="A1">
      <selection activeCell="A1" sqref="A1:V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3.57421875" style="0" customWidth="1"/>
    <col min="4" max="4" width="23.421875" style="0" customWidth="1"/>
    <col min="5" max="5" width="14.57421875" style="0" customWidth="1"/>
    <col min="6" max="6" width="16.140625" style="0" customWidth="1"/>
    <col min="7" max="8" width="14.57421875" style="0" customWidth="1"/>
    <col min="9" max="9" width="22.00390625" style="0" bestFit="1" customWidth="1"/>
    <col min="10" max="12" width="14.57421875" style="0" customWidth="1"/>
    <col min="13" max="13" width="23.7109375" style="0" customWidth="1"/>
    <col min="14" max="14" width="14.57421875" style="0" customWidth="1"/>
    <col min="15" max="15" width="16.140625" style="0" customWidth="1"/>
    <col min="16" max="17" width="14.57421875" style="0" customWidth="1"/>
    <col min="18" max="18" width="22.00390625" style="0" bestFit="1" customWidth="1"/>
    <col min="19" max="21" width="14.57421875" style="0" customWidth="1"/>
    <col min="22" max="22" width="16.140625" style="0" customWidth="1"/>
  </cols>
  <sheetData>
    <row r="1" spans="1:22" ht="18">
      <c r="A1" s="431" t="s">
        <v>1545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</row>
    <row r="2" spans="1:22" ht="18">
      <c r="A2" s="416" t="s">
        <v>1518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</row>
    <row r="3" spans="1:22" ht="18" customHeight="1">
      <c r="A3" s="496" t="s">
        <v>429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</row>
    <row r="4" spans="1:22" ht="18">
      <c r="A4" s="497" t="s">
        <v>430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V5" s="111" t="s">
        <v>0</v>
      </c>
    </row>
    <row r="6" spans="1:22" ht="15" customHeight="1">
      <c r="A6" s="144" t="s">
        <v>1</v>
      </c>
      <c r="B6" s="144" t="s">
        <v>2</v>
      </c>
      <c r="C6" s="144" t="s">
        <v>3</v>
      </c>
      <c r="D6" s="144" t="s">
        <v>4</v>
      </c>
      <c r="E6" s="144" t="s">
        <v>5</v>
      </c>
      <c r="F6" s="144" t="s">
        <v>6</v>
      </c>
      <c r="G6" s="144" t="s">
        <v>7</v>
      </c>
      <c r="H6" s="144" t="s">
        <v>8</v>
      </c>
      <c r="I6" s="144" t="s">
        <v>9</v>
      </c>
      <c r="J6" s="145" t="s">
        <v>10</v>
      </c>
      <c r="K6" s="144" t="s">
        <v>11</v>
      </c>
      <c r="L6" s="146" t="s">
        <v>12</v>
      </c>
      <c r="M6" s="144" t="s">
        <v>13</v>
      </c>
      <c r="N6" s="144" t="s">
        <v>14</v>
      </c>
      <c r="O6" s="144" t="s">
        <v>15</v>
      </c>
      <c r="P6" s="144" t="s">
        <v>16</v>
      </c>
      <c r="Q6" s="144" t="s">
        <v>17</v>
      </c>
      <c r="R6" s="144" t="s">
        <v>18</v>
      </c>
      <c r="S6" s="145" t="s">
        <v>19</v>
      </c>
      <c r="T6" s="144" t="s">
        <v>20</v>
      </c>
      <c r="U6" s="146" t="s">
        <v>21</v>
      </c>
      <c r="V6" s="127" t="s">
        <v>179</v>
      </c>
    </row>
    <row r="7" spans="1:22" ht="12.75" customHeight="1">
      <c r="A7" s="413" t="s">
        <v>23</v>
      </c>
      <c r="B7" s="413" t="s">
        <v>183</v>
      </c>
      <c r="C7" s="406" t="s">
        <v>24</v>
      </c>
      <c r="D7" s="406" t="s">
        <v>1262</v>
      </c>
      <c r="E7" s="455" t="s">
        <v>25</v>
      </c>
      <c r="F7" s="455"/>
      <c r="G7" s="455"/>
      <c r="H7" s="455"/>
      <c r="I7" s="455"/>
      <c r="J7" s="455"/>
      <c r="K7" s="455"/>
      <c r="L7" s="510"/>
      <c r="M7" s="406" t="s">
        <v>1467</v>
      </c>
      <c r="N7" s="455" t="s">
        <v>1466</v>
      </c>
      <c r="O7" s="455"/>
      <c r="P7" s="455"/>
      <c r="Q7" s="455"/>
      <c r="R7" s="455"/>
      <c r="S7" s="455"/>
      <c r="T7" s="455"/>
      <c r="U7" s="510"/>
      <c r="V7" s="462" t="s">
        <v>1012</v>
      </c>
    </row>
    <row r="8" spans="1:22" ht="12.75" customHeight="1">
      <c r="A8" s="413"/>
      <c r="B8" s="413"/>
      <c r="C8" s="406"/>
      <c r="D8" s="406"/>
      <c r="E8" s="405" t="s">
        <v>26</v>
      </c>
      <c r="F8" s="405"/>
      <c r="G8" s="405"/>
      <c r="H8" s="405"/>
      <c r="I8" s="405"/>
      <c r="J8" s="405" t="s">
        <v>27</v>
      </c>
      <c r="K8" s="405"/>
      <c r="L8" s="457"/>
      <c r="M8" s="406"/>
      <c r="N8" s="405" t="s">
        <v>26</v>
      </c>
      <c r="O8" s="405"/>
      <c r="P8" s="405"/>
      <c r="Q8" s="405"/>
      <c r="R8" s="405"/>
      <c r="S8" s="405" t="s">
        <v>27</v>
      </c>
      <c r="T8" s="405"/>
      <c r="U8" s="457"/>
      <c r="V8" s="462"/>
    </row>
    <row r="9" spans="1:22" ht="87" customHeight="1">
      <c r="A9" s="413"/>
      <c r="B9" s="413"/>
      <c r="C9" s="406"/>
      <c r="D9" s="406"/>
      <c r="E9" s="5" t="s">
        <v>28</v>
      </c>
      <c r="F9" s="5" t="s">
        <v>29</v>
      </c>
      <c r="G9" s="5" t="s">
        <v>30</v>
      </c>
      <c r="H9" s="5" t="s">
        <v>31</v>
      </c>
      <c r="I9" s="5" t="s">
        <v>32</v>
      </c>
      <c r="J9" s="5" t="s">
        <v>33</v>
      </c>
      <c r="K9" s="5" t="s">
        <v>34</v>
      </c>
      <c r="L9" s="114" t="s">
        <v>35</v>
      </c>
      <c r="M9" s="406"/>
      <c r="N9" s="5" t="s">
        <v>28</v>
      </c>
      <c r="O9" s="5" t="s">
        <v>29</v>
      </c>
      <c r="P9" s="5" t="s">
        <v>30</v>
      </c>
      <c r="Q9" s="5" t="s">
        <v>31</v>
      </c>
      <c r="R9" s="5" t="s">
        <v>32</v>
      </c>
      <c r="S9" s="5" t="s">
        <v>33</v>
      </c>
      <c r="T9" s="5" t="s">
        <v>34</v>
      </c>
      <c r="U9" s="114" t="s">
        <v>35</v>
      </c>
      <c r="V9" s="462"/>
    </row>
    <row r="10" spans="1:22" s="66" customFormat="1" ht="18">
      <c r="A10" s="56" t="s">
        <v>91</v>
      </c>
      <c r="B10" s="56"/>
      <c r="C10" s="57" t="s">
        <v>39</v>
      </c>
      <c r="D10" s="10">
        <f aca="true" t="shared" si="0" ref="D10:D19">SUM(E10:L10)</f>
        <v>50500000</v>
      </c>
      <c r="E10" s="58">
        <f aca="true" t="shared" si="1" ref="E10:L10">SUM(E11:E13)</f>
        <v>0</v>
      </c>
      <c r="F10" s="58">
        <f t="shared" si="1"/>
        <v>0</v>
      </c>
      <c r="G10" s="58">
        <f t="shared" si="1"/>
        <v>3500000</v>
      </c>
      <c r="H10" s="58">
        <f t="shared" si="1"/>
        <v>0</v>
      </c>
      <c r="I10" s="58">
        <f t="shared" si="1"/>
        <v>47000000</v>
      </c>
      <c r="J10" s="58">
        <f t="shared" si="1"/>
        <v>0</v>
      </c>
      <c r="K10" s="58">
        <f t="shared" si="1"/>
        <v>0</v>
      </c>
      <c r="L10" s="64">
        <f t="shared" si="1"/>
        <v>0</v>
      </c>
      <c r="M10" s="10">
        <f aca="true" t="shared" si="2" ref="M10:M16">SUM(N10:U10)</f>
        <v>50500000</v>
      </c>
      <c r="N10" s="58">
        <f aca="true" t="shared" si="3" ref="N10:U10">SUM(N11:N13)</f>
        <v>0</v>
      </c>
      <c r="O10" s="58">
        <f t="shared" si="3"/>
        <v>0</v>
      </c>
      <c r="P10" s="58">
        <f t="shared" si="3"/>
        <v>3500000</v>
      </c>
      <c r="Q10" s="58">
        <f t="shared" si="3"/>
        <v>0</v>
      </c>
      <c r="R10" s="58">
        <f t="shared" si="3"/>
        <v>47000000</v>
      </c>
      <c r="S10" s="58">
        <f t="shared" si="3"/>
        <v>0</v>
      </c>
      <c r="T10" s="58">
        <f t="shared" si="3"/>
        <v>0</v>
      </c>
      <c r="U10" s="64">
        <f t="shared" si="3"/>
        <v>0</v>
      </c>
      <c r="V10" s="462"/>
    </row>
    <row r="11" spans="1:22" ht="60">
      <c r="A11" s="6"/>
      <c r="B11" s="6" t="s">
        <v>431</v>
      </c>
      <c r="C11" s="9" t="s">
        <v>954</v>
      </c>
      <c r="D11" s="52">
        <f t="shared" si="0"/>
        <v>47000000</v>
      </c>
      <c r="E11" s="53">
        <v>0</v>
      </c>
      <c r="F11" s="53">
        <v>0</v>
      </c>
      <c r="G11" s="53">
        <v>0</v>
      </c>
      <c r="H11" s="53">
        <v>0</v>
      </c>
      <c r="I11" s="53">
        <v>47000000</v>
      </c>
      <c r="J11" s="53">
        <v>0</v>
      </c>
      <c r="K11" s="53">
        <v>0</v>
      </c>
      <c r="L11" s="115">
        <v>0</v>
      </c>
      <c r="M11" s="52">
        <f t="shared" si="2"/>
        <v>47000000</v>
      </c>
      <c r="N11" s="53">
        <v>0</v>
      </c>
      <c r="O11" s="53">
        <v>0</v>
      </c>
      <c r="P11" s="53">
        <v>0</v>
      </c>
      <c r="Q11" s="53">
        <v>0</v>
      </c>
      <c r="R11" s="53">
        <v>47000000</v>
      </c>
      <c r="S11" s="53">
        <v>0</v>
      </c>
      <c r="T11" s="53">
        <v>0</v>
      </c>
      <c r="U11" s="115">
        <v>0</v>
      </c>
      <c r="V11" s="134" t="s">
        <v>1124</v>
      </c>
    </row>
    <row r="12" spans="1:22" ht="105">
      <c r="A12" s="6"/>
      <c r="B12" s="6" t="s">
        <v>783</v>
      </c>
      <c r="C12" s="9" t="s">
        <v>955</v>
      </c>
      <c r="D12" s="52">
        <f t="shared" si="0"/>
        <v>500000</v>
      </c>
      <c r="E12" s="53">
        <v>0</v>
      </c>
      <c r="F12" s="53">
        <v>0</v>
      </c>
      <c r="G12" s="53">
        <v>500000</v>
      </c>
      <c r="H12" s="53">
        <v>0</v>
      </c>
      <c r="I12" s="53">
        <v>0</v>
      </c>
      <c r="J12" s="53">
        <v>0</v>
      </c>
      <c r="K12" s="53">
        <v>0</v>
      </c>
      <c r="L12" s="115">
        <v>0</v>
      </c>
      <c r="M12" s="52">
        <f t="shared" si="2"/>
        <v>500000</v>
      </c>
      <c r="N12" s="53">
        <v>0</v>
      </c>
      <c r="O12" s="53">
        <v>0</v>
      </c>
      <c r="P12" s="53">
        <v>500000</v>
      </c>
      <c r="Q12" s="53">
        <v>0</v>
      </c>
      <c r="R12" s="53">
        <v>0</v>
      </c>
      <c r="S12" s="53">
        <v>0</v>
      </c>
      <c r="T12" s="53">
        <v>0</v>
      </c>
      <c r="U12" s="115">
        <v>0</v>
      </c>
      <c r="V12" s="134" t="s">
        <v>1125</v>
      </c>
    </row>
    <row r="13" spans="1:22" ht="30">
      <c r="A13" s="6"/>
      <c r="B13" s="6" t="s">
        <v>433</v>
      </c>
      <c r="C13" s="9" t="s">
        <v>434</v>
      </c>
      <c r="D13" s="52">
        <f t="shared" si="0"/>
        <v>3000000</v>
      </c>
      <c r="E13" s="53">
        <v>0</v>
      </c>
      <c r="F13" s="53">
        <v>0</v>
      </c>
      <c r="G13" s="53">
        <v>3000000</v>
      </c>
      <c r="H13" s="53">
        <v>0</v>
      </c>
      <c r="I13" s="53">
        <v>0</v>
      </c>
      <c r="J13" s="53">
        <v>0</v>
      </c>
      <c r="K13" s="53">
        <v>0</v>
      </c>
      <c r="L13" s="115">
        <v>0</v>
      </c>
      <c r="M13" s="52">
        <f t="shared" si="2"/>
        <v>3000000</v>
      </c>
      <c r="N13" s="53">
        <v>0</v>
      </c>
      <c r="O13" s="53">
        <v>0</v>
      </c>
      <c r="P13" s="53">
        <v>3000000</v>
      </c>
      <c r="Q13" s="53">
        <v>0</v>
      </c>
      <c r="R13" s="53">
        <v>0</v>
      </c>
      <c r="S13" s="53">
        <v>0</v>
      </c>
      <c r="T13" s="53">
        <v>0</v>
      </c>
      <c r="U13" s="115">
        <v>0</v>
      </c>
      <c r="V13" s="134" t="s">
        <v>1126</v>
      </c>
    </row>
    <row r="14" spans="1:22" s="66" customFormat="1" ht="18">
      <c r="A14" s="56" t="s">
        <v>92</v>
      </c>
      <c r="B14" s="56"/>
      <c r="C14" s="57" t="s">
        <v>41</v>
      </c>
      <c r="D14" s="10">
        <f t="shared" si="0"/>
        <v>16000000</v>
      </c>
      <c r="E14" s="58">
        <f aca="true" t="shared" si="4" ref="E14:L14">SUM(E15:E17)</f>
        <v>0</v>
      </c>
      <c r="F14" s="58">
        <f t="shared" si="4"/>
        <v>0</v>
      </c>
      <c r="G14" s="58">
        <f t="shared" si="4"/>
        <v>0</v>
      </c>
      <c r="H14" s="58">
        <f t="shared" si="4"/>
        <v>0</v>
      </c>
      <c r="I14" s="58">
        <f t="shared" si="4"/>
        <v>16000000</v>
      </c>
      <c r="J14" s="58">
        <f t="shared" si="4"/>
        <v>0</v>
      </c>
      <c r="K14" s="58">
        <f t="shared" si="4"/>
        <v>0</v>
      </c>
      <c r="L14" s="64">
        <f t="shared" si="4"/>
        <v>0</v>
      </c>
      <c r="M14" s="10">
        <f t="shared" si="2"/>
        <v>12341000</v>
      </c>
      <c r="N14" s="58">
        <f aca="true" t="shared" si="5" ref="N14:U14">SUM(N15:N17)</f>
        <v>0</v>
      </c>
      <c r="O14" s="58">
        <f t="shared" si="5"/>
        <v>0</v>
      </c>
      <c r="P14" s="58">
        <f t="shared" si="5"/>
        <v>0</v>
      </c>
      <c r="Q14" s="58">
        <f t="shared" si="5"/>
        <v>0</v>
      </c>
      <c r="R14" s="58">
        <f t="shared" si="5"/>
        <v>12341000</v>
      </c>
      <c r="S14" s="58">
        <f t="shared" si="5"/>
        <v>0</v>
      </c>
      <c r="T14" s="58">
        <f t="shared" si="5"/>
        <v>0</v>
      </c>
      <c r="U14" s="64">
        <f t="shared" si="5"/>
        <v>0</v>
      </c>
      <c r="V14" s="135"/>
    </row>
    <row r="15" spans="1:22" ht="45">
      <c r="A15" s="6"/>
      <c r="B15" s="6" t="s">
        <v>435</v>
      </c>
      <c r="C15" s="9" t="s">
        <v>436</v>
      </c>
      <c r="D15" s="52">
        <f t="shared" si="0"/>
        <v>10000000</v>
      </c>
      <c r="E15" s="53">
        <v>0</v>
      </c>
      <c r="F15" s="53">
        <v>0</v>
      </c>
      <c r="G15" s="53">
        <v>0</v>
      </c>
      <c r="H15" s="53">
        <v>0</v>
      </c>
      <c r="I15" s="53">
        <v>10000000</v>
      </c>
      <c r="J15" s="53">
        <v>0</v>
      </c>
      <c r="K15" s="53">
        <v>0</v>
      </c>
      <c r="L15" s="115">
        <v>0</v>
      </c>
      <c r="M15" s="52">
        <f t="shared" si="2"/>
        <v>8500000</v>
      </c>
      <c r="N15" s="53">
        <v>0</v>
      </c>
      <c r="O15" s="53">
        <v>0</v>
      </c>
      <c r="P15" s="53">
        <v>0</v>
      </c>
      <c r="Q15" s="53">
        <v>0</v>
      </c>
      <c r="R15" s="53">
        <v>8500000</v>
      </c>
      <c r="S15" s="53">
        <v>0</v>
      </c>
      <c r="T15" s="53">
        <v>0</v>
      </c>
      <c r="U15" s="115">
        <v>0</v>
      </c>
      <c r="V15" s="134" t="s">
        <v>1127</v>
      </c>
    </row>
    <row r="16" spans="1:22" ht="75">
      <c r="A16" s="6"/>
      <c r="B16" s="6" t="s">
        <v>437</v>
      </c>
      <c r="C16" s="9" t="s">
        <v>432</v>
      </c>
      <c r="D16" s="52">
        <f t="shared" si="0"/>
        <v>5000000</v>
      </c>
      <c r="E16" s="53">
        <v>0</v>
      </c>
      <c r="F16" s="53">
        <v>0</v>
      </c>
      <c r="G16" s="53">
        <v>0</v>
      </c>
      <c r="H16" s="53">
        <v>0</v>
      </c>
      <c r="I16" s="53">
        <v>5000000</v>
      </c>
      <c r="J16" s="53">
        <v>0</v>
      </c>
      <c r="K16" s="53">
        <v>0</v>
      </c>
      <c r="L16" s="115">
        <v>0</v>
      </c>
      <c r="M16" s="52">
        <f t="shared" si="2"/>
        <v>2841000</v>
      </c>
      <c r="N16" s="53">
        <v>0</v>
      </c>
      <c r="O16" s="53">
        <v>0</v>
      </c>
      <c r="P16" s="53">
        <v>0</v>
      </c>
      <c r="Q16" s="53">
        <v>0</v>
      </c>
      <c r="R16" s="53">
        <v>2841000</v>
      </c>
      <c r="S16" s="53">
        <v>0</v>
      </c>
      <c r="T16" s="53">
        <v>0</v>
      </c>
      <c r="U16" s="115">
        <v>0</v>
      </c>
      <c r="V16" s="134" t="s">
        <v>1128</v>
      </c>
    </row>
    <row r="17" spans="1:22" ht="90">
      <c r="A17" s="6"/>
      <c r="B17" s="6" t="s">
        <v>782</v>
      </c>
      <c r="C17" s="9" t="s">
        <v>956</v>
      </c>
      <c r="D17" s="52">
        <f>SUM(E17:L17)</f>
        <v>1000000</v>
      </c>
      <c r="E17" s="53">
        <v>0</v>
      </c>
      <c r="F17" s="53">
        <v>0</v>
      </c>
      <c r="G17" s="53">
        <v>0</v>
      </c>
      <c r="H17" s="53">
        <v>0</v>
      </c>
      <c r="I17" s="53">
        <v>1000000</v>
      </c>
      <c r="J17" s="53">
        <v>0</v>
      </c>
      <c r="K17" s="53">
        <v>0</v>
      </c>
      <c r="L17" s="115">
        <v>0</v>
      </c>
      <c r="M17" s="52">
        <f>SUM(N17:U17)</f>
        <v>1000000</v>
      </c>
      <c r="N17" s="53">
        <v>0</v>
      </c>
      <c r="O17" s="53">
        <v>0</v>
      </c>
      <c r="P17" s="53">
        <v>0</v>
      </c>
      <c r="Q17" s="53">
        <v>0</v>
      </c>
      <c r="R17" s="53">
        <v>1000000</v>
      </c>
      <c r="S17" s="53">
        <v>0</v>
      </c>
      <c r="T17" s="53">
        <v>0</v>
      </c>
      <c r="U17" s="115">
        <v>0</v>
      </c>
      <c r="V17" s="134">
        <v>54326</v>
      </c>
    </row>
    <row r="18" spans="1:22" s="66" customFormat="1" ht="31.5">
      <c r="A18" s="56" t="s">
        <v>93</v>
      </c>
      <c r="B18" s="56"/>
      <c r="C18" s="57" t="s">
        <v>43</v>
      </c>
      <c r="D18" s="10">
        <f t="shared" si="0"/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61">
        <v>0</v>
      </c>
      <c r="M18" s="10">
        <f>SUM(N18:U18)</f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61">
        <v>0</v>
      </c>
      <c r="V18" s="135"/>
    </row>
    <row r="19" spans="1:22" ht="33.75" customHeight="1">
      <c r="A19" s="454" t="s">
        <v>286</v>
      </c>
      <c r="B19" s="454"/>
      <c r="C19" s="454"/>
      <c r="D19" s="10">
        <f t="shared" si="0"/>
        <v>66500000</v>
      </c>
      <c r="E19" s="58">
        <f aca="true" t="shared" si="6" ref="E19:L19">E10+E14+E18</f>
        <v>0</v>
      </c>
      <c r="F19" s="58">
        <f t="shared" si="6"/>
        <v>0</v>
      </c>
      <c r="G19" s="58">
        <f t="shared" si="6"/>
        <v>3500000</v>
      </c>
      <c r="H19" s="58">
        <f t="shared" si="6"/>
        <v>0</v>
      </c>
      <c r="I19" s="58">
        <f t="shared" si="6"/>
        <v>63000000</v>
      </c>
      <c r="J19" s="58">
        <f t="shared" si="6"/>
        <v>0</v>
      </c>
      <c r="K19" s="58">
        <f t="shared" si="6"/>
        <v>0</v>
      </c>
      <c r="L19" s="64">
        <f t="shared" si="6"/>
        <v>0</v>
      </c>
      <c r="M19" s="10">
        <f>SUM(N19:U19)</f>
        <v>62841000</v>
      </c>
      <c r="N19" s="58">
        <f aca="true" t="shared" si="7" ref="N19:U19">N10+N14+N18</f>
        <v>0</v>
      </c>
      <c r="O19" s="58">
        <f t="shared" si="7"/>
        <v>0</v>
      </c>
      <c r="P19" s="58">
        <f t="shared" si="7"/>
        <v>3500000</v>
      </c>
      <c r="Q19" s="58">
        <f t="shared" si="7"/>
        <v>0</v>
      </c>
      <c r="R19" s="58">
        <f t="shared" si="7"/>
        <v>59341000</v>
      </c>
      <c r="S19" s="58">
        <f t="shared" si="7"/>
        <v>0</v>
      </c>
      <c r="T19" s="58">
        <f t="shared" si="7"/>
        <v>0</v>
      </c>
      <c r="U19" s="64">
        <f t="shared" si="7"/>
        <v>0</v>
      </c>
      <c r="V19" s="120"/>
    </row>
    <row r="22" spans="11:21" ht="12.75">
      <c r="K22" s="11"/>
      <c r="L22" s="11" t="s">
        <v>428</v>
      </c>
      <c r="T22" s="11"/>
      <c r="U22" s="11" t="s">
        <v>428</v>
      </c>
    </row>
  </sheetData>
  <sheetProtection selectLockedCells="1" selectUnlockedCells="1"/>
  <mergeCells count="17">
    <mergeCell ref="A1:V1"/>
    <mergeCell ref="A3:V3"/>
    <mergeCell ref="A4:V4"/>
    <mergeCell ref="N7:U7"/>
    <mergeCell ref="N8:R8"/>
    <mergeCell ref="A2:V2"/>
    <mergeCell ref="S8:U8"/>
    <mergeCell ref="V7:V10"/>
    <mergeCell ref="A19:C19"/>
    <mergeCell ref="E8:I8"/>
    <mergeCell ref="J8:L8"/>
    <mergeCell ref="A7:A9"/>
    <mergeCell ref="B7:B9"/>
    <mergeCell ref="M7:M9"/>
    <mergeCell ref="E7:L7"/>
    <mergeCell ref="C7:C9"/>
    <mergeCell ref="D7:D9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0"/>
  <sheetViews>
    <sheetView view="pageBreakPreview" zoomScale="80" zoomScaleNormal="70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V1"/>
    </sheetView>
  </sheetViews>
  <sheetFormatPr defaultColWidth="9.140625" defaultRowHeight="12.75"/>
  <cols>
    <col min="1" max="1" width="6.57421875" style="0" customWidth="1"/>
    <col min="2" max="2" width="8.28125" style="0" customWidth="1"/>
    <col min="3" max="3" width="39.421875" style="0" customWidth="1"/>
    <col min="4" max="5" width="14.57421875" style="0" customWidth="1"/>
    <col min="6" max="6" width="15.57421875" style="0" customWidth="1"/>
    <col min="7" max="12" width="14.57421875" style="0" customWidth="1"/>
    <col min="13" max="13" width="23.00390625" style="0" customWidth="1"/>
    <col min="14" max="14" width="14.57421875" style="0" customWidth="1"/>
    <col min="15" max="15" width="15.57421875" style="0" customWidth="1"/>
    <col min="16" max="21" width="14.57421875" style="0" customWidth="1"/>
    <col min="22" max="22" width="16.140625" style="0" customWidth="1"/>
  </cols>
  <sheetData>
    <row r="1" spans="1:22" ht="18">
      <c r="A1" s="431" t="s">
        <v>1546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</row>
    <row r="2" spans="1:22" ht="18">
      <c r="A2" s="416" t="s">
        <v>1519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</row>
    <row r="3" spans="1:22" ht="18" customHeight="1">
      <c r="A3" s="496" t="s">
        <v>438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</row>
    <row r="4" spans="1:22" ht="18">
      <c r="A4" s="497" t="s">
        <v>439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V5" s="111" t="s">
        <v>1507</v>
      </c>
    </row>
    <row r="6" spans="1:22" ht="15" customHeight="1">
      <c r="A6" s="144" t="s">
        <v>1</v>
      </c>
      <c r="B6" s="144" t="s">
        <v>2</v>
      </c>
      <c r="C6" s="144" t="s">
        <v>3</v>
      </c>
      <c r="D6" s="144" t="s">
        <v>4</v>
      </c>
      <c r="E6" s="144" t="s">
        <v>5</v>
      </c>
      <c r="F6" s="144" t="s">
        <v>6</v>
      </c>
      <c r="G6" s="144" t="s">
        <v>7</v>
      </c>
      <c r="H6" s="144" t="s">
        <v>8</v>
      </c>
      <c r="I6" s="144" t="s">
        <v>9</v>
      </c>
      <c r="J6" s="145" t="s">
        <v>10</v>
      </c>
      <c r="K6" s="144" t="s">
        <v>11</v>
      </c>
      <c r="L6" s="146" t="s">
        <v>12</v>
      </c>
      <c r="M6" s="144" t="s">
        <v>13</v>
      </c>
      <c r="N6" s="144" t="s">
        <v>14</v>
      </c>
      <c r="O6" s="144" t="s">
        <v>15</v>
      </c>
      <c r="P6" s="144" t="s">
        <v>16</v>
      </c>
      <c r="Q6" s="144" t="s">
        <v>17</v>
      </c>
      <c r="R6" s="144" t="s">
        <v>18</v>
      </c>
      <c r="S6" s="145" t="s">
        <v>19</v>
      </c>
      <c r="T6" s="144" t="s">
        <v>20</v>
      </c>
      <c r="U6" s="146" t="s">
        <v>21</v>
      </c>
      <c r="V6" s="127" t="s">
        <v>179</v>
      </c>
    </row>
    <row r="7" spans="1:22" ht="12.75" customHeight="1">
      <c r="A7" s="413" t="s">
        <v>23</v>
      </c>
      <c r="B7" s="413" t="s">
        <v>183</v>
      </c>
      <c r="C7" s="406" t="s">
        <v>24</v>
      </c>
      <c r="D7" s="409" t="s">
        <v>1262</v>
      </c>
      <c r="E7" s="462" t="s">
        <v>25</v>
      </c>
      <c r="F7" s="462"/>
      <c r="G7" s="462"/>
      <c r="H7" s="462"/>
      <c r="I7" s="462"/>
      <c r="J7" s="462"/>
      <c r="K7" s="462"/>
      <c r="L7" s="462"/>
      <c r="M7" s="409" t="s">
        <v>1467</v>
      </c>
      <c r="N7" s="462" t="s">
        <v>1466</v>
      </c>
      <c r="O7" s="462"/>
      <c r="P7" s="462"/>
      <c r="Q7" s="462"/>
      <c r="R7" s="462"/>
      <c r="S7" s="462"/>
      <c r="T7" s="462"/>
      <c r="U7" s="462"/>
      <c r="V7" s="462" t="s">
        <v>1012</v>
      </c>
    </row>
    <row r="8" spans="1:22" ht="12.75" customHeight="1">
      <c r="A8" s="413"/>
      <c r="B8" s="413"/>
      <c r="C8" s="406"/>
      <c r="D8" s="409"/>
      <c r="E8" s="464" t="s">
        <v>26</v>
      </c>
      <c r="F8" s="464"/>
      <c r="G8" s="464"/>
      <c r="H8" s="464"/>
      <c r="I8" s="464"/>
      <c r="J8" s="464" t="s">
        <v>27</v>
      </c>
      <c r="K8" s="464"/>
      <c r="L8" s="464"/>
      <c r="M8" s="409"/>
      <c r="N8" s="464" t="s">
        <v>26</v>
      </c>
      <c r="O8" s="464"/>
      <c r="P8" s="464"/>
      <c r="Q8" s="464"/>
      <c r="R8" s="464"/>
      <c r="S8" s="464" t="s">
        <v>27</v>
      </c>
      <c r="T8" s="464"/>
      <c r="U8" s="464"/>
      <c r="V8" s="462"/>
    </row>
    <row r="9" spans="1:22" ht="76.5" customHeight="1">
      <c r="A9" s="413"/>
      <c r="B9" s="413"/>
      <c r="C9" s="406"/>
      <c r="D9" s="409"/>
      <c r="E9" s="97" t="s">
        <v>28</v>
      </c>
      <c r="F9" s="97" t="s">
        <v>29</v>
      </c>
      <c r="G9" s="97" t="s">
        <v>30</v>
      </c>
      <c r="H9" s="97" t="s">
        <v>31</v>
      </c>
      <c r="I9" s="97" t="s">
        <v>32</v>
      </c>
      <c r="J9" s="97" t="s">
        <v>33</v>
      </c>
      <c r="K9" s="97" t="s">
        <v>34</v>
      </c>
      <c r="L9" s="97" t="s">
        <v>35</v>
      </c>
      <c r="M9" s="409"/>
      <c r="N9" s="97" t="s">
        <v>28</v>
      </c>
      <c r="O9" s="97" t="s">
        <v>29</v>
      </c>
      <c r="P9" s="97" t="s">
        <v>30</v>
      </c>
      <c r="Q9" s="97" t="s">
        <v>31</v>
      </c>
      <c r="R9" s="97" t="s">
        <v>32</v>
      </c>
      <c r="S9" s="97" t="s">
        <v>33</v>
      </c>
      <c r="T9" s="97" t="s">
        <v>34</v>
      </c>
      <c r="U9" s="97" t="s">
        <v>35</v>
      </c>
      <c r="V9" s="462"/>
    </row>
    <row r="10" spans="1:22" ht="18">
      <c r="A10" s="6" t="s">
        <v>96</v>
      </c>
      <c r="B10" s="6"/>
      <c r="C10" s="41" t="s">
        <v>39</v>
      </c>
      <c r="D10" s="61">
        <f aca="true" t="shared" si="0" ref="D10:D25">SUM(E10:L10)</f>
        <v>14863500</v>
      </c>
      <c r="E10" s="107">
        <f aca="true" t="shared" si="1" ref="E10:L10">SUM(E11:E16)</f>
        <v>0</v>
      </c>
      <c r="F10" s="107">
        <f t="shared" si="1"/>
        <v>0</v>
      </c>
      <c r="G10" s="107">
        <f t="shared" si="1"/>
        <v>9863500</v>
      </c>
      <c r="H10" s="107">
        <f t="shared" si="1"/>
        <v>0</v>
      </c>
      <c r="I10" s="107">
        <f t="shared" si="1"/>
        <v>5000000</v>
      </c>
      <c r="J10" s="107">
        <f t="shared" si="1"/>
        <v>0</v>
      </c>
      <c r="K10" s="107">
        <f t="shared" si="1"/>
        <v>0</v>
      </c>
      <c r="L10" s="107">
        <f t="shared" si="1"/>
        <v>0</v>
      </c>
      <c r="M10" s="61">
        <f aca="true" t="shared" si="2" ref="M10:M26">SUM(N10:U10)</f>
        <v>4563500</v>
      </c>
      <c r="N10" s="107">
        <f aca="true" t="shared" si="3" ref="N10:U10">SUM(N11:N16)</f>
        <v>0</v>
      </c>
      <c r="O10" s="107">
        <f t="shared" si="3"/>
        <v>0</v>
      </c>
      <c r="P10" s="107">
        <f t="shared" si="3"/>
        <v>4239820</v>
      </c>
      <c r="Q10" s="107">
        <f t="shared" si="3"/>
        <v>0</v>
      </c>
      <c r="R10" s="107">
        <f t="shared" si="3"/>
        <v>323680</v>
      </c>
      <c r="S10" s="107">
        <f t="shared" si="3"/>
        <v>0</v>
      </c>
      <c r="T10" s="107">
        <f t="shared" si="3"/>
        <v>0</v>
      </c>
      <c r="U10" s="107">
        <f t="shared" si="3"/>
        <v>0</v>
      </c>
      <c r="V10" s="462"/>
    </row>
    <row r="11" spans="1:22" ht="18">
      <c r="A11" s="6"/>
      <c r="B11" s="6" t="s">
        <v>440</v>
      </c>
      <c r="C11" s="9" t="s">
        <v>441</v>
      </c>
      <c r="D11" s="130">
        <f t="shared" si="0"/>
        <v>5500000</v>
      </c>
      <c r="E11" s="103">
        <v>0</v>
      </c>
      <c r="F11" s="103">
        <v>0</v>
      </c>
      <c r="G11" s="103">
        <v>5500000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30">
        <f t="shared" si="2"/>
        <v>3000000</v>
      </c>
      <c r="N11" s="103">
        <v>0</v>
      </c>
      <c r="O11" s="103">
        <v>0</v>
      </c>
      <c r="P11" s="103">
        <v>2676320</v>
      </c>
      <c r="Q11" s="103">
        <v>0</v>
      </c>
      <c r="R11" s="103">
        <v>323680</v>
      </c>
      <c r="S11" s="103">
        <v>0</v>
      </c>
      <c r="T11" s="103">
        <v>0</v>
      </c>
      <c r="U11" s="103">
        <v>0</v>
      </c>
      <c r="V11" s="131" t="s">
        <v>1129</v>
      </c>
    </row>
    <row r="12" spans="1:22" ht="30">
      <c r="A12" s="6"/>
      <c r="B12" s="6" t="s">
        <v>442</v>
      </c>
      <c r="C12" s="9" t="s">
        <v>443</v>
      </c>
      <c r="D12" s="130">
        <f t="shared" si="0"/>
        <v>500000</v>
      </c>
      <c r="E12" s="103">
        <v>0</v>
      </c>
      <c r="F12" s="103">
        <v>0</v>
      </c>
      <c r="G12" s="103">
        <v>500000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30">
        <f t="shared" si="2"/>
        <v>500000</v>
      </c>
      <c r="N12" s="103">
        <v>0</v>
      </c>
      <c r="O12" s="103">
        <v>0</v>
      </c>
      <c r="P12" s="103">
        <v>500000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31" t="s">
        <v>1130</v>
      </c>
    </row>
    <row r="13" spans="1:22" ht="30">
      <c r="A13" s="6"/>
      <c r="B13" s="6" t="s">
        <v>444</v>
      </c>
      <c r="C13" s="9" t="s">
        <v>445</v>
      </c>
      <c r="D13" s="130">
        <f t="shared" si="0"/>
        <v>1363500</v>
      </c>
      <c r="E13" s="103">
        <v>0</v>
      </c>
      <c r="F13" s="103">
        <v>0</v>
      </c>
      <c r="G13" s="103">
        <v>1363500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30">
        <f t="shared" si="2"/>
        <v>1063500</v>
      </c>
      <c r="N13" s="103">
        <v>0</v>
      </c>
      <c r="O13" s="103">
        <v>0</v>
      </c>
      <c r="P13" s="103">
        <v>1063500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31" t="s">
        <v>1131</v>
      </c>
    </row>
    <row r="14" spans="1:22" ht="18">
      <c r="A14" s="6"/>
      <c r="B14" s="6" t="s">
        <v>446</v>
      </c>
      <c r="C14" s="9" t="s">
        <v>447</v>
      </c>
      <c r="D14" s="130">
        <f t="shared" si="0"/>
        <v>2500000</v>
      </c>
      <c r="E14" s="103">
        <v>0</v>
      </c>
      <c r="F14" s="103">
        <v>0</v>
      </c>
      <c r="G14" s="103">
        <v>0</v>
      </c>
      <c r="H14" s="103">
        <v>0</v>
      </c>
      <c r="I14" s="103">
        <v>2500000</v>
      </c>
      <c r="J14" s="103">
        <v>0</v>
      </c>
      <c r="K14" s="103">
        <v>0</v>
      </c>
      <c r="L14" s="103">
        <v>0</v>
      </c>
      <c r="M14" s="130">
        <f t="shared" si="2"/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31" t="s">
        <v>1132</v>
      </c>
    </row>
    <row r="15" spans="1:22" ht="18">
      <c r="A15" s="6"/>
      <c r="B15" s="6" t="s">
        <v>448</v>
      </c>
      <c r="C15" s="9" t="s">
        <v>805</v>
      </c>
      <c r="D15" s="130">
        <f t="shared" si="0"/>
        <v>2500000</v>
      </c>
      <c r="E15" s="103">
        <v>0</v>
      </c>
      <c r="F15" s="103">
        <v>0</v>
      </c>
      <c r="G15" s="103">
        <v>0</v>
      </c>
      <c r="H15" s="103">
        <v>0</v>
      </c>
      <c r="I15" s="103">
        <v>2500000</v>
      </c>
      <c r="J15" s="103">
        <v>0</v>
      </c>
      <c r="K15" s="103">
        <v>0</v>
      </c>
      <c r="L15" s="103">
        <v>0</v>
      </c>
      <c r="M15" s="130">
        <f t="shared" si="2"/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31" t="s">
        <v>1133</v>
      </c>
    </row>
    <row r="16" spans="1:22" ht="18">
      <c r="A16" s="6"/>
      <c r="B16" s="6" t="s">
        <v>1293</v>
      </c>
      <c r="C16" s="9" t="s">
        <v>1294</v>
      </c>
      <c r="D16" s="130">
        <f t="shared" si="0"/>
        <v>2500000</v>
      </c>
      <c r="E16" s="103">
        <v>0</v>
      </c>
      <c r="F16" s="103">
        <v>0</v>
      </c>
      <c r="G16" s="103">
        <v>2500000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30">
        <f t="shared" si="2"/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31">
        <v>54406</v>
      </c>
    </row>
    <row r="17" spans="1:22" ht="18">
      <c r="A17" s="6" t="s">
        <v>97</v>
      </c>
      <c r="B17" s="6"/>
      <c r="C17" s="41" t="s">
        <v>41</v>
      </c>
      <c r="D17" s="61">
        <f>SUM(E17:L17)</f>
        <v>61995000</v>
      </c>
      <c r="E17" s="107">
        <f aca="true" t="shared" si="4" ref="E17:L17">SUM(E18:E24)</f>
        <v>15246000</v>
      </c>
      <c r="F17" s="107">
        <f t="shared" si="4"/>
        <v>3249000</v>
      </c>
      <c r="G17" s="107">
        <f t="shared" si="4"/>
        <v>0</v>
      </c>
      <c r="H17" s="107">
        <f t="shared" si="4"/>
        <v>0</v>
      </c>
      <c r="I17" s="107">
        <f t="shared" si="4"/>
        <v>23500000</v>
      </c>
      <c r="J17" s="107">
        <f t="shared" si="4"/>
        <v>0</v>
      </c>
      <c r="K17" s="107">
        <f t="shared" si="4"/>
        <v>0</v>
      </c>
      <c r="L17" s="107">
        <f t="shared" si="4"/>
        <v>20000000</v>
      </c>
      <c r="M17" s="61">
        <f t="shared" si="2"/>
        <v>43695000</v>
      </c>
      <c r="N17" s="107">
        <f aca="true" t="shared" si="5" ref="N17:U17">SUM(N18:N24)</f>
        <v>5166000</v>
      </c>
      <c r="O17" s="107">
        <f t="shared" si="5"/>
        <v>1029000</v>
      </c>
      <c r="P17" s="107">
        <f t="shared" si="5"/>
        <v>0</v>
      </c>
      <c r="Q17" s="107">
        <f t="shared" si="5"/>
        <v>0</v>
      </c>
      <c r="R17" s="107">
        <f t="shared" si="5"/>
        <v>22500000</v>
      </c>
      <c r="S17" s="107">
        <f t="shared" si="5"/>
        <v>0</v>
      </c>
      <c r="T17" s="107">
        <f t="shared" si="5"/>
        <v>0</v>
      </c>
      <c r="U17" s="107">
        <f t="shared" si="5"/>
        <v>15000000</v>
      </c>
      <c r="V17" s="137"/>
    </row>
    <row r="18" spans="1:22" ht="18">
      <c r="A18" s="6"/>
      <c r="B18" s="6" t="s">
        <v>449</v>
      </c>
      <c r="C18" s="9" t="s">
        <v>450</v>
      </c>
      <c r="D18" s="130">
        <f t="shared" si="0"/>
        <v>1500000</v>
      </c>
      <c r="E18" s="103">
        <v>0</v>
      </c>
      <c r="F18" s="103">
        <v>0</v>
      </c>
      <c r="G18" s="103">
        <v>0</v>
      </c>
      <c r="H18" s="103">
        <v>0</v>
      </c>
      <c r="I18" s="103">
        <v>1500000</v>
      </c>
      <c r="J18" s="103">
        <v>0</v>
      </c>
      <c r="K18" s="103">
        <v>0</v>
      </c>
      <c r="L18" s="103">
        <v>0</v>
      </c>
      <c r="M18" s="130">
        <f t="shared" si="2"/>
        <v>1500000</v>
      </c>
      <c r="N18" s="103">
        <v>0</v>
      </c>
      <c r="O18" s="103">
        <v>0</v>
      </c>
      <c r="P18" s="103">
        <v>0</v>
      </c>
      <c r="Q18" s="103">
        <v>0</v>
      </c>
      <c r="R18" s="103">
        <v>1500000</v>
      </c>
      <c r="S18" s="103">
        <v>0</v>
      </c>
      <c r="T18" s="103">
        <v>0</v>
      </c>
      <c r="U18" s="103">
        <v>0</v>
      </c>
      <c r="V18" s="131" t="s">
        <v>1134</v>
      </c>
    </row>
    <row r="19" spans="1:22" ht="18">
      <c r="A19" s="6"/>
      <c r="B19" s="6" t="s">
        <v>451</v>
      </c>
      <c r="C19" s="9" t="s">
        <v>452</v>
      </c>
      <c r="D19" s="130">
        <f t="shared" si="0"/>
        <v>18495000</v>
      </c>
      <c r="E19" s="103">
        <v>15246000</v>
      </c>
      <c r="F19" s="103">
        <v>3249000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30">
        <f t="shared" si="2"/>
        <v>6195000</v>
      </c>
      <c r="N19" s="103">
        <v>5166000</v>
      </c>
      <c r="O19" s="103">
        <v>1029000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31" t="s">
        <v>1135</v>
      </c>
    </row>
    <row r="20" spans="1:22" ht="30">
      <c r="A20" s="6"/>
      <c r="B20" s="6" t="s">
        <v>453</v>
      </c>
      <c r="C20" s="9" t="s">
        <v>1434</v>
      </c>
      <c r="D20" s="130">
        <f t="shared" si="0"/>
        <v>20000000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20000000</v>
      </c>
      <c r="M20" s="130">
        <f t="shared" si="2"/>
        <v>15000000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15000000</v>
      </c>
      <c r="V20" s="156">
        <v>54414</v>
      </c>
    </row>
    <row r="21" spans="1:22" ht="18">
      <c r="A21" s="6"/>
      <c r="B21" s="6" t="s">
        <v>454</v>
      </c>
      <c r="C21" s="9" t="s">
        <v>1248</v>
      </c>
      <c r="D21" s="130">
        <f>SUM(E21:L21)</f>
        <v>3000000</v>
      </c>
      <c r="E21" s="103">
        <v>0</v>
      </c>
      <c r="F21" s="103">
        <v>0</v>
      </c>
      <c r="G21" s="103">
        <v>0</v>
      </c>
      <c r="H21" s="103">
        <v>0</v>
      </c>
      <c r="I21" s="103">
        <v>3000000</v>
      </c>
      <c r="J21" s="103">
        <v>0</v>
      </c>
      <c r="K21" s="103">
        <v>0</v>
      </c>
      <c r="L21" s="103">
        <v>0</v>
      </c>
      <c r="M21" s="130">
        <f t="shared" si="2"/>
        <v>2000000</v>
      </c>
      <c r="N21" s="103">
        <v>0</v>
      </c>
      <c r="O21" s="103">
        <v>0</v>
      </c>
      <c r="P21" s="103">
        <v>0</v>
      </c>
      <c r="Q21" s="103">
        <v>0</v>
      </c>
      <c r="R21" s="103">
        <v>2000000</v>
      </c>
      <c r="S21" s="103">
        <v>0</v>
      </c>
      <c r="T21" s="103">
        <v>0</v>
      </c>
      <c r="U21" s="103">
        <v>0</v>
      </c>
      <c r="V21" s="156" t="s">
        <v>1251</v>
      </c>
    </row>
    <row r="22" spans="1:22" ht="30">
      <c r="A22" s="6"/>
      <c r="B22" s="6" t="s">
        <v>781</v>
      </c>
      <c r="C22" s="9" t="s">
        <v>1269</v>
      </c>
      <c r="D22" s="130">
        <f>SUM(E22:L22)</f>
        <v>6000000</v>
      </c>
      <c r="E22" s="103">
        <v>0</v>
      </c>
      <c r="F22" s="103">
        <v>0</v>
      </c>
      <c r="G22" s="103">
        <v>0</v>
      </c>
      <c r="H22" s="103">
        <v>0</v>
      </c>
      <c r="I22" s="103">
        <v>6000000</v>
      </c>
      <c r="J22" s="103">
        <v>0</v>
      </c>
      <c r="K22" s="103">
        <v>0</v>
      </c>
      <c r="L22" s="103">
        <v>0</v>
      </c>
      <c r="M22" s="130">
        <f t="shared" si="2"/>
        <v>6000000</v>
      </c>
      <c r="N22" s="103">
        <v>0</v>
      </c>
      <c r="O22" s="103">
        <v>0</v>
      </c>
      <c r="P22" s="103">
        <v>0</v>
      </c>
      <c r="Q22" s="103">
        <v>0</v>
      </c>
      <c r="R22" s="103">
        <v>6000000</v>
      </c>
      <c r="S22" s="103">
        <v>0</v>
      </c>
      <c r="T22" s="103">
        <v>0</v>
      </c>
      <c r="U22" s="103">
        <v>0</v>
      </c>
      <c r="V22" s="156">
        <v>54417</v>
      </c>
    </row>
    <row r="23" spans="1:22" ht="30">
      <c r="A23" s="6"/>
      <c r="B23" s="6" t="s">
        <v>972</v>
      </c>
      <c r="C23" s="9" t="s">
        <v>1270</v>
      </c>
      <c r="D23" s="130">
        <f>SUM(E23:L23)</f>
        <v>5000000</v>
      </c>
      <c r="E23" s="103">
        <v>0</v>
      </c>
      <c r="F23" s="103">
        <v>0</v>
      </c>
      <c r="G23" s="103">
        <v>0</v>
      </c>
      <c r="H23" s="103">
        <v>0</v>
      </c>
      <c r="I23" s="103">
        <v>5000000</v>
      </c>
      <c r="J23" s="103">
        <v>0</v>
      </c>
      <c r="K23" s="103">
        <v>0</v>
      </c>
      <c r="L23" s="103">
        <v>0</v>
      </c>
      <c r="M23" s="130">
        <f t="shared" si="2"/>
        <v>5000000</v>
      </c>
      <c r="N23" s="103">
        <v>0</v>
      </c>
      <c r="O23" s="103">
        <v>0</v>
      </c>
      <c r="P23" s="103">
        <v>0</v>
      </c>
      <c r="Q23" s="103">
        <v>0</v>
      </c>
      <c r="R23" s="103">
        <v>5000000</v>
      </c>
      <c r="S23" s="103">
        <v>0</v>
      </c>
      <c r="T23" s="103">
        <v>0</v>
      </c>
      <c r="U23" s="103">
        <v>0</v>
      </c>
      <c r="V23" s="156">
        <v>54419</v>
      </c>
    </row>
    <row r="24" spans="1:22" ht="18">
      <c r="A24" s="6"/>
      <c r="B24" s="6" t="s">
        <v>1367</v>
      </c>
      <c r="C24" s="9" t="s">
        <v>1366</v>
      </c>
      <c r="D24" s="130">
        <f>SUM(E24:L24)</f>
        <v>8000000</v>
      </c>
      <c r="E24" s="103">
        <v>0</v>
      </c>
      <c r="F24" s="103">
        <v>0</v>
      </c>
      <c r="G24" s="103">
        <v>0</v>
      </c>
      <c r="H24" s="103">
        <v>0</v>
      </c>
      <c r="I24" s="103">
        <v>8000000</v>
      </c>
      <c r="J24" s="103">
        <v>0</v>
      </c>
      <c r="K24" s="103">
        <v>0</v>
      </c>
      <c r="L24" s="103">
        <v>0</v>
      </c>
      <c r="M24" s="130">
        <f t="shared" si="2"/>
        <v>8000000</v>
      </c>
      <c r="N24" s="103">
        <v>0</v>
      </c>
      <c r="O24" s="103">
        <v>0</v>
      </c>
      <c r="P24" s="103">
        <v>0</v>
      </c>
      <c r="Q24" s="103">
        <v>0</v>
      </c>
      <c r="R24" s="103">
        <v>8000000</v>
      </c>
      <c r="S24" s="103">
        <v>0</v>
      </c>
      <c r="T24" s="103">
        <v>0</v>
      </c>
      <c r="U24" s="103">
        <v>0</v>
      </c>
      <c r="V24" s="156">
        <v>54416</v>
      </c>
    </row>
    <row r="25" spans="1:22" ht="18">
      <c r="A25" s="6" t="s">
        <v>98</v>
      </c>
      <c r="B25" s="6"/>
      <c r="C25" s="41" t="s">
        <v>43</v>
      </c>
      <c r="D25" s="61">
        <f t="shared" si="0"/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6">
        <v>0</v>
      </c>
      <c r="M25" s="61">
        <f t="shared" si="2"/>
        <v>0</v>
      </c>
      <c r="N25" s="107">
        <v>0</v>
      </c>
      <c r="O25" s="107">
        <v>0</v>
      </c>
      <c r="P25" s="107">
        <v>0</v>
      </c>
      <c r="Q25" s="107">
        <v>0</v>
      </c>
      <c r="R25" s="107">
        <v>0</v>
      </c>
      <c r="S25" s="107">
        <v>0</v>
      </c>
      <c r="T25" s="107">
        <v>0</v>
      </c>
      <c r="U25" s="106">
        <v>0</v>
      </c>
      <c r="V25" s="137"/>
    </row>
    <row r="26" spans="1:22" ht="24.75" customHeight="1">
      <c r="A26" s="454" t="s">
        <v>286</v>
      </c>
      <c r="B26" s="454"/>
      <c r="C26" s="454"/>
      <c r="D26" s="61">
        <f>SUM(E26:L26)</f>
        <v>76858500</v>
      </c>
      <c r="E26" s="107">
        <f aca="true" t="shared" si="6" ref="E26:L26">E10+E17+E25</f>
        <v>15246000</v>
      </c>
      <c r="F26" s="107">
        <f t="shared" si="6"/>
        <v>3249000</v>
      </c>
      <c r="G26" s="107">
        <f t="shared" si="6"/>
        <v>9863500</v>
      </c>
      <c r="H26" s="107">
        <f t="shared" si="6"/>
        <v>0</v>
      </c>
      <c r="I26" s="107">
        <f t="shared" si="6"/>
        <v>28500000</v>
      </c>
      <c r="J26" s="107">
        <f t="shared" si="6"/>
        <v>0</v>
      </c>
      <c r="K26" s="107">
        <f t="shared" si="6"/>
        <v>0</v>
      </c>
      <c r="L26" s="107">
        <f t="shared" si="6"/>
        <v>20000000</v>
      </c>
      <c r="M26" s="61">
        <f t="shared" si="2"/>
        <v>48258500</v>
      </c>
      <c r="N26" s="107">
        <f aca="true" t="shared" si="7" ref="N26:U26">N10+N17+N25</f>
        <v>5166000</v>
      </c>
      <c r="O26" s="107">
        <f t="shared" si="7"/>
        <v>1029000</v>
      </c>
      <c r="P26" s="107">
        <f t="shared" si="7"/>
        <v>4239820</v>
      </c>
      <c r="Q26" s="107">
        <f t="shared" si="7"/>
        <v>0</v>
      </c>
      <c r="R26" s="107">
        <f t="shared" si="7"/>
        <v>22823680</v>
      </c>
      <c r="S26" s="107">
        <f t="shared" si="7"/>
        <v>0</v>
      </c>
      <c r="T26" s="107">
        <f t="shared" si="7"/>
        <v>0</v>
      </c>
      <c r="U26" s="107">
        <f t="shared" si="7"/>
        <v>15000000</v>
      </c>
      <c r="V26" s="137"/>
    </row>
    <row r="28" spans="11:21" s="65" customFormat="1" ht="12.75">
      <c r="K28" s="84"/>
      <c r="L28" s="84"/>
      <c r="T28" s="84"/>
      <c r="U28" s="84"/>
    </row>
    <row r="29" spans="11:21" s="65" customFormat="1" ht="12.75">
      <c r="K29" s="84"/>
      <c r="L29" s="84"/>
      <c r="T29" s="84"/>
      <c r="U29" s="84"/>
    </row>
    <row r="30" spans="11:21" s="65" customFormat="1" ht="12.75">
      <c r="K30" s="84"/>
      <c r="L30" s="84"/>
      <c r="T30" s="84"/>
      <c r="U30" s="84"/>
    </row>
    <row r="31" s="65" customFormat="1" ht="12.75"/>
    <row r="32" s="65" customFormat="1" ht="12.75"/>
    <row r="33" s="65" customFormat="1" ht="12.75"/>
  </sheetData>
  <sheetProtection selectLockedCells="1" selectUnlockedCells="1"/>
  <mergeCells count="17">
    <mergeCell ref="A1:V1"/>
    <mergeCell ref="A3:V3"/>
    <mergeCell ref="A4:V4"/>
    <mergeCell ref="N7:U7"/>
    <mergeCell ref="N8:R8"/>
    <mergeCell ref="A2:V2"/>
    <mergeCell ref="S8:U8"/>
    <mergeCell ref="V7:V10"/>
    <mergeCell ref="A26:C26"/>
    <mergeCell ref="E8:I8"/>
    <mergeCell ref="J8:L8"/>
    <mergeCell ref="A7:A9"/>
    <mergeCell ref="B7:B9"/>
    <mergeCell ref="M7:M9"/>
    <mergeCell ref="E7:L7"/>
    <mergeCell ref="C7:C9"/>
    <mergeCell ref="D7:D9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9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9"/>
  <sheetViews>
    <sheetView view="pageBreakPreview" zoomScale="69" zoomScaleNormal="66" zoomScaleSheetLayoutView="69" zoomScalePageLayoutView="0" workbookViewId="0" topLeftCell="A1">
      <selection activeCell="A1" sqref="A1:W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0.8515625" style="0" customWidth="1"/>
    <col min="4" max="4" width="70.00390625" style="0" customWidth="1"/>
    <col min="5" max="5" width="22.28125" style="0" customWidth="1"/>
    <col min="6" max="8" width="14.57421875" style="0" customWidth="1"/>
    <col min="9" max="9" width="19.421875" style="0" bestFit="1" customWidth="1"/>
    <col min="10" max="13" width="14.57421875" style="0" customWidth="1"/>
    <col min="14" max="14" width="23.8515625" style="0" customWidth="1"/>
    <col min="15" max="17" width="14.57421875" style="0" customWidth="1"/>
    <col min="18" max="18" width="19.421875" style="0" bestFit="1" customWidth="1"/>
    <col min="19" max="22" width="14.57421875" style="0" customWidth="1"/>
    <col min="23" max="23" width="16.140625" style="0" customWidth="1"/>
  </cols>
  <sheetData>
    <row r="1" spans="1:23" ht="18">
      <c r="A1" s="431" t="s">
        <v>1547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</row>
    <row r="2" spans="1:23" ht="18">
      <c r="A2" s="416" t="s">
        <v>1520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</row>
    <row r="3" spans="1:23" ht="18" customHeight="1">
      <c r="A3" s="496" t="s">
        <v>455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</row>
    <row r="4" spans="1:23" ht="18">
      <c r="A4" s="497" t="s">
        <v>456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</row>
    <row r="5" spans="1:2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N5" s="1"/>
      <c r="O5" s="1"/>
      <c r="P5" s="1"/>
      <c r="Q5" s="1"/>
      <c r="R5" s="1"/>
      <c r="S5" s="1"/>
      <c r="T5" s="1"/>
      <c r="U5" s="1"/>
      <c r="W5" s="111" t="s">
        <v>0</v>
      </c>
    </row>
    <row r="6" spans="1:23" ht="15" customHeight="1">
      <c r="A6" s="144" t="s">
        <v>1</v>
      </c>
      <c r="B6" s="144" t="s">
        <v>2</v>
      </c>
      <c r="C6" s="144" t="s">
        <v>3</v>
      </c>
      <c r="D6" s="144" t="s">
        <v>4</v>
      </c>
      <c r="E6" s="144" t="s">
        <v>5</v>
      </c>
      <c r="F6" s="144" t="s">
        <v>6</v>
      </c>
      <c r="G6" s="144" t="s">
        <v>7</v>
      </c>
      <c r="H6" s="144" t="s">
        <v>8</v>
      </c>
      <c r="I6" s="144" t="s">
        <v>9</v>
      </c>
      <c r="J6" s="145" t="s">
        <v>10</v>
      </c>
      <c r="K6" s="144" t="s">
        <v>11</v>
      </c>
      <c r="L6" s="146" t="s">
        <v>12</v>
      </c>
      <c r="M6" s="147" t="s">
        <v>13</v>
      </c>
      <c r="N6" s="144" t="s">
        <v>14</v>
      </c>
      <c r="O6" s="144" t="s">
        <v>15</v>
      </c>
      <c r="P6" s="144" t="s">
        <v>16</v>
      </c>
      <c r="Q6" s="144" t="s">
        <v>17</v>
      </c>
      <c r="R6" s="144" t="s">
        <v>18</v>
      </c>
      <c r="S6" s="145" t="s">
        <v>19</v>
      </c>
      <c r="T6" s="144" t="s">
        <v>20</v>
      </c>
      <c r="U6" s="146" t="s">
        <v>21</v>
      </c>
      <c r="V6" s="147" t="s">
        <v>179</v>
      </c>
      <c r="W6" s="154" t="s">
        <v>180</v>
      </c>
    </row>
    <row r="7" spans="1:23" ht="12.75" customHeight="1">
      <c r="A7" s="413" t="s">
        <v>23</v>
      </c>
      <c r="B7" s="413" t="s">
        <v>183</v>
      </c>
      <c r="C7" s="413" t="s">
        <v>320</v>
      </c>
      <c r="D7" s="406" t="s">
        <v>24</v>
      </c>
      <c r="E7" s="406" t="s">
        <v>1262</v>
      </c>
      <c r="F7" s="455" t="s">
        <v>25</v>
      </c>
      <c r="G7" s="455"/>
      <c r="H7" s="455"/>
      <c r="I7" s="455"/>
      <c r="J7" s="455"/>
      <c r="K7" s="455"/>
      <c r="L7" s="455"/>
      <c r="M7" s="510"/>
      <c r="N7" s="406" t="s">
        <v>1467</v>
      </c>
      <c r="O7" s="455" t="s">
        <v>1466</v>
      </c>
      <c r="P7" s="455"/>
      <c r="Q7" s="455"/>
      <c r="R7" s="455"/>
      <c r="S7" s="455"/>
      <c r="T7" s="455"/>
      <c r="U7" s="455"/>
      <c r="V7" s="510"/>
      <c r="W7" s="511" t="s">
        <v>1012</v>
      </c>
    </row>
    <row r="8" spans="1:23" ht="12.75" customHeight="1">
      <c r="A8" s="413"/>
      <c r="B8" s="413"/>
      <c r="C8" s="413"/>
      <c r="D8" s="406"/>
      <c r="E8" s="406"/>
      <c r="F8" s="405" t="s">
        <v>26</v>
      </c>
      <c r="G8" s="405"/>
      <c r="H8" s="405"/>
      <c r="I8" s="405"/>
      <c r="J8" s="405"/>
      <c r="K8" s="405" t="s">
        <v>27</v>
      </c>
      <c r="L8" s="405"/>
      <c r="M8" s="457"/>
      <c r="N8" s="406"/>
      <c r="O8" s="405" t="s">
        <v>26</v>
      </c>
      <c r="P8" s="405"/>
      <c r="Q8" s="405"/>
      <c r="R8" s="405"/>
      <c r="S8" s="405"/>
      <c r="T8" s="405" t="s">
        <v>27</v>
      </c>
      <c r="U8" s="405"/>
      <c r="V8" s="457"/>
      <c r="W8" s="511"/>
    </row>
    <row r="9" spans="1:23" ht="93" customHeight="1">
      <c r="A9" s="413"/>
      <c r="B9" s="413"/>
      <c r="C9" s="413"/>
      <c r="D9" s="406"/>
      <c r="E9" s="406"/>
      <c r="F9" s="5" t="s">
        <v>28</v>
      </c>
      <c r="G9" s="5" t="s">
        <v>29</v>
      </c>
      <c r="H9" s="5" t="s">
        <v>30</v>
      </c>
      <c r="I9" s="5" t="s">
        <v>31</v>
      </c>
      <c r="J9" s="5" t="s">
        <v>32</v>
      </c>
      <c r="K9" s="5" t="s">
        <v>33</v>
      </c>
      <c r="L9" s="5" t="s">
        <v>34</v>
      </c>
      <c r="M9" s="114" t="s">
        <v>35</v>
      </c>
      <c r="N9" s="406"/>
      <c r="O9" s="5" t="s">
        <v>28</v>
      </c>
      <c r="P9" s="5" t="s">
        <v>29</v>
      </c>
      <c r="Q9" s="5" t="s">
        <v>30</v>
      </c>
      <c r="R9" s="5" t="s">
        <v>31</v>
      </c>
      <c r="S9" s="5" t="s">
        <v>32</v>
      </c>
      <c r="T9" s="5" t="s">
        <v>33</v>
      </c>
      <c r="U9" s="5" t="s">
        <v>34</v>
      </c>
      <c r="V9" s="114" t="s">
        <v>35</v>
      </c>
      <c r="W9" s="511"/>
    </row>
    <row r="10" spans="1:23" s="66" customFormat="1" ht="18">
      <c r="A10" s="56" t="s">
        <v>101</v>
      </c>
      <c r="B10" s="56"/>
      <c r="C10" s="56"/>
      <c r="D10" s="57" t="s">
        <v>39</v>
      </c>
      <c r="E10" s="10">
        <f aca="true" t="shared" si="0" ref="E10:E29">SUM(F10:M10)</f>
        <v>184079970</v>
      </c>
      <c r="F10" s="58">
        <f aca="true" t="shared" si="1" ref="F10:M10">F11+F16+F21+F22</f>
        <v>0</v>
      </c>
      <c r="G10" s="58">
        <f t="shared" si="1"/>
        <v>0</v>
      </c>
      <c r="H10" s="58">
        <f t="shared" si="1"/>
        <v>0</v>
      </c>
      <c r="I10" s="58">
        <f>I11+I16+I21+I22</f>
        <v>184079970</v>
      </c>
      <c r="J10" s="58">
        <f t="shared" si="1"/>
        <v>0</v>
      </c>
      <c r="K10" s="58">
        <f t="shared" si="1"/>
        <v>0</v>
      </c>
      <c r="L10" s="58">
        <f t="shared" si="1"/>
        <v>0</v>
      </c>
      <c r="M10" s="64">
        <f t="shared" si="1"/>
        <v>0</v>
      </c>
      <c r="N10" s="10">
        <f aca="true" t="shared" si="2" ref="N10:N22">SUM(O10:V10)</f>
        <v>182959736</v>
      </c>
      <c r="O10" s="58">
        <f aca="true" t="shared" si="3" ref="O10:V10">O11+O16+O21+O22</f>
        <v>0</v>
      </c>
      <c r="P10" s="58">
        <f t="shared" si="3"/>
        <v>0</v>
      </c>
      <c r="Q10" s="58">
        <f t="shared" si="3"/>
        <v>4677079</v>
      </c>
      <c r="R10" s="58">
        <f>R11+R16+R21+R22</f>
        <v>173753635</v>
      </c>
      <c r="S10" s="58">
        <f t="shared" si="3"/>
        <v>4529022</v>
      </c>
      <c r="T10" s="58">
        <f t="shared" si="3"/>
        <v>0</v>
      </c>
      <c r="U10" s="58">
        <f t="shared" si="3"/>
        <v>0</v>
      </c>
      <c r="V10" s="64">
        <f t="shared" si="3"/>
        <v>0</v>
      </c>
      <c r="W10" s="511"/>
    </row>
    <row r="11" spans="1:23" s="66" customFormat="1" ht="18">
      <c r="A11" s="56"/>
      <c r="B11" s="56" t="s">
        <v>457</v>
      </c>
      <c r="C11" s="56"/>
      <c r="D11" s="63" t="s">
        <v>458</v>
      </c>
      <c r="E11" s="10">
        <f t="shared" si="0"/>
        <v>132029202</v>
      </c>
      <c r="F11" s="68">
        <f aca="true" t="shared" si="4" ref="F11:M11">SUM(F12:F15)</f>
        <v>0</v>
      </c>
      <c r="G11" s="68">
        <f t="shared" si="4"/>
        <v>0</v>
      </c>
      <c r="H11" s="68">
        <f t="shared" si="4"/>
        <v>0</v>
      </c>
      <c r="I11" s="68">
        <f>SUM(I12:I15)</f>
        <v>132029202</v>
      </c>
      <c r="J11" s="68">
        <f t="shared" si="4"/>
        <v>0</v>
      </c>
      <c r="K11" s="68">
        <f t="shared" si="4"/>
        <v>0</v>
      </c>
      <c r="L11" s="68">
        <f t="shared" si="4"/>
        <v>0</v>
      </c>
      <c r="M11" s="138">
        <f t="shared" si="4"/>
        <v>0</v>
      </c>
      <c r="N11" s="10">
        <f t="shared" si="2"/>
        <v>132029202</v>
      </c>
      <c r="O11" s="68">
        <f aca="true" t="shared" si="5" ref="O11:V11">SUM(O12:O15)</f>
        <v>0</v>
      </c>
      <c r="P11" s="68">
        <f t="shared" si="5"/>
        <v>0</v>
      </c>
      <c r="Q11" s="68">
        <f t="shared" si="5"/>
        <v>0</v>
      </c>
      <c r="R11" s="68">
        <f t="shared" si="5"/>
        <v>132029202</v>
      </c>
      <c r="S11" s="68">
        <f t="shared" si="5"/>
        <v>0</v>
      </c>
      <c r="T11" s="68">
        <f t="shared" si="5"/>
        <v>0</v>
      </c>
      <c r="U11" s="68">
        <f t="shared" si="5"/>
        <v>0</v>
      </c>
      <c r="V11" s="138">
        <f t="shared" si="5"/>
        <v>0</v>
      </c>
      <c r="W11" s="157"/>
    </row>
    <row r="12" spans="1:23" ht="18">
      <c r="A12" s="6"/>
      <c r="B12" s="6"/>
      <c r="C12" s="6" t="s">
        <v>459</v>
      </c>
      <c r="D12" s="9" t="s">
        <v>460</v>
      </c>
      <c r="E12" s="52">
        <f t="shared" si="0"/>
        <v>80000000</v>
      </c>
      <c r="F12" s="53">
        <v>0</v>
      </c>
      <c r="G12" s="53">
        <v>0</v>
      </c>
      <c r="H12" s="53">
        <v>0</v>
      </c>
      <c r="I12" s="53">
        <v>80000000</v>
      </c>
      <c r="J12" s="53">
        <v>0</v>
      </c>
      <c r="K12" s="53">
        <v>0</v>
      </c>
      <c r="L12" s="53">
        <v>0</v>
      </c>
      <c r="M12" s="139">
        <v>0</v>
      </c>
      <c r="N12" s="52">
        <f t="shared" si="2"/>
        <v>80000000</v>
      </c>
      <c r="O12" s="53">
        <v>0</v>
      </c>
      <c r="P12" s="53">
        <v>0</v>
      </c>
      <c r="Q12" s="53">
        <v>0</v>
      </c>
      <c r="R12" s="53">
        <v>80000000</v>
      </c>
      <c r="S12" s="53">
        <v>0</v>
      </c>
      <c r="T12" s="53">
        <v>0</v>
      </c>
      <c r="U12" s="53">
        <v>0</v>
      </c>
      <c r="V12" s="139">
        <v>0</v>
      </c>
      <c r="W12" s="157" t="s">
        <v>1136</v>
      </c>
    </row>
    <row r="13" spans="1:23" ht="18">
      <c r="A13" s="6"/>
      <c r="B13" s="6"/>
      <c r="C13" s="6" t="s">
        <v>461</v>
      </c>
      <c r="D13" s="9" t="s">
        <v>462</v>
      </c>
      <c r="E13" s="52">
        <f t="shared" si="0"/>
        <v>10029202</v>
      </c>
      <c r="F13" s="53">
        <v>0</v>
      </c>
      <c r="G13" s="53">
        <v>0</v>
      </c>
      <c r="H13" s="53">
        <v>0</v>
      </c>
      <c r="I13" s="53">
        <f>29202+10000000</f>
        <v>10029202</v>
      </c>
      <c r="J13" s="53">
        <v>0</v>
      </c>
      <c r="K13" s="53">
        <v>0</v>
      </c>
      <c r="L13" s="53">
        <v>0</v>
      </c>
      <c r="M13" s="139">
        <v>0</v>
      </c>
      <c r="N13" s="52">
        <f t="shared" si="2"/>
        <v>10029202</v>
      </c>
      <c r="O13" s="53">
        <v>0</v>
      </c>
      <c r="P13" s="53">
        <v>0</v>
      </c>
      <c r="Q13" s="53">
        <v>0</v>
      </c>
      <c r="R13" s="53">
        <v>10029202</v>
      </c>
      <c r="S13" s="53">
        <v>0</v>
      </c>
      <c r="T13" s="53">
        <v>0</v>
      </c>
      <c r="U13" s="53">
        <v>0</v>
      </c>
      <c r="V13" s="139">
        <v>0</v>
      </c>
      <c r="W13" s="157" t="s">
        <v>1137</v>
      </c>
    </row>
    <row r="14" spans="1:23" ht="18">
      <c r="A14" s="6"/>
      <c r="B14" s="6"/>
      <c r="C14" s="6" t="s">
        <v>463</v>
      </c>
      <c r="D14" s="9" t="s">
        <v>961</v>
      </c>
      <c r="E14" s="52">
        <f t="shared" si="0"/>
        <v>32000000</v>
      </c>
      <c r="F14" s="53">
        <v>0</v>
      </c>
      <c r="G14" s="53">
        <v>0</v>
      </c>
      <c r="H14" s="53">
        <v>0</v>
      </c>
      <c r="I14" s="53">
        <v>32000000</v>
      </c>
      <c r="J14" s="53">
        <v>0</v>
      </c>
      <c r="K14" s="53">
        <v>0</v>
      </c>
      <c r="L14" s="53">
        <v>0</v>
      </c>
      <c r="M14" s="139">
        <v>0</v>
      </c>
      <c r="N14" s="52">
        <f t="shared" si="2"/>
        <v>32000000</v>
      </c>
      <c r="O14" s="53">
        <v>0</v>
      </c>
      <c r="P14" s="53">
        <v>0</v>
      </c>
      <c r="Q14" s="53">
        <v>0</v>
      </c>
      <c r="R14" s="53">
        <v>32000000</v>
      </c>
      <c r="S14" s="53">
        <v>0</v>
      </c>
      <c r="T14" s="53">
        <v>0</v>
      </c>
      <c r="U14" s="53">
        <v>0</v>
      </c>
      <c r="V14" s="139">
        <v>0</v>
      </c>
      <c r="W14" s="157">
        <v>55023</v>
      </c>
    </row>
    <row r="15" spans="1:23" ht="18">
      <c r="A15" s="6"/>
      <c r="B15" s="6"/>
      <c r="C15" s="6" t="s">
        <v>464</v>
      </c>
      <c r="D15" s="9" t="s">
        <v>465</v>
      </c>
      <c r="E15" s="52">
        <f t="shared" si="0"/>
        <v>10000000</v>
      </c>
      <c r="F15" s="53">
        <v>0</v>
      </c>
      <c r="G15" s="53">
        <v>0</v>
      </c>
      <c r="H15" s="53">
        <v>0</v>
      </c>
      <c r="I15" s="53">
        <v>10000000</v>
      </c>
      <c r="J15" s="53">
        <v>0</v>
      </c>
      <c r="K15" s="53">
        <v>0</v>
      </c>
      <c r="L15" s="53">
        <v>0</v>
      </c>
      <c r="M15" s="139">
        <v>0</v>
      </c>
      <c r="N15" s="52">
        <f t="shared" si="2"/>
        <v>10000000</v>
      </c>
      <c r="O15" s="53">
        <v>0</v>
      </c>
      <c r="P15" s="53">
        <v>0</v>
      </c>
      <c r="Q15" s="53">
        <v>0</v>
      </c>
      <c r="R15" s="53">
        <v>10000000</v>
      </c>
      <c r="S15" s="53">
        <v>0</v>
      </c>
      <c r="T15" s="53">
        <v>0</v>
      </c>
      <c r="U15" s="53">
        <v>0</v>
      </c>
      <c r="V15" s="139">
        <v>0</v>
      </c>
      <c r="W15" s="157" t="s">
        <v>1138</v>
      </c>
    </row>
    <row r="16" spans="1:23" s="66" customFormat="1" ht="18">
      <c r="A16" s="56"/>
      <c r="B16" s="56" t="s">
        <v>466</v>
      </c>
      <c r="C16" s="56"/>
      <c r="D16" s="63" t="s">
        <v>467</v>
      </c>
      <c r="E16" s="10">
        <f t="shared" si="0"/>
        <v>15261681</v>
      </c>
      <c r="F16" s="68">
        <f>SUM(F18:F20)</f>
        <v>0</v>
      </c>
      <c r="G16" s="68">
        <f>SUM(G18:G20)</f>
        <v>0</v>
      </c>
      <c r="H16" s="68">
        <f>SUM(H18:H20)</f>
        <v>0</v>
      </c>
      <c r="I16" s="68">
        <f>SUM(I17:I20)</f>
        <v>15261681</v>
      </c>
      <c r="J16" s="68">
        <f>SUM(J18:J20)</f>
        <v>0</v>
      </c>
      <c r="K16" s="68">
        <f>SUM(K18:K20)</f>
        <v>0</v>
      </c>
      <c r="L16" s="68">
        <f>SUM(L18:L20)</f>
        <v>0</v>
      </c>
      <c r="M16" s="138">
        <f>SUM(M18:M20)</f>
        <v>0</v>
      </c>
      <c r="N16" s="10">
        <f t="shared" si="2"/>
        <v>14141447</v>
      </c>
      <c r="O16" s="68">
        <f>SUM(O18:O20)</f>
        <v>0</v>
      </c>
      <c r="P16" s="68">
        <f>SUM(P18:P20)</f>
        <v>0</v>
      </c>
      <c r="Q16" s="68">
        <f>SUM(Q18:Q20)</f>
        <v>0</v>
      </c>
      <c r="R16" s="68">
        <f>SUM(R17:R20)</f>
        <v>14141447</v>
      </c>
      <c r="S16" s="68">
        <f>SUM(S18:S20)</f>
        <v>0</v>
      </c>
      <c r="T16" s="68">
        <f>SUM(T18:T20)</f>
        <v>0</v>
      </c>
      <c r="U16" s="68">
        <f>SUM(U18:U20)</f>
        <v>0</v>
      </c>
      <c r="V16" s="138">
        <f>SUM(V18:V20)</f>
        <v>0</v>
      </c>
      <c r="W16" s="157"/>
    </row>
    <row r="17" spans="1:23" ht="18">
      <c r="A17" s="6"/>
      <c r="B17" s="6"/>
      <c r="C17" s="6" t="s">
        <v>468</v>
      </c>
      <c r="D17" s="9" t="s">
        <v>469</v>
      </c>
      <c r="E17" s="52">
        <f t="shared" si="0"/>
        <v>4000000</v>
      </c>
      <c r="F17" s="53">
        <v>0</v>
      </c>
      <c r="G17" s="53">
        <v>0</v>
      </c>
      <c r="H17" s="53">
        <v>0</v>
      </c>
      <c r="I17" s="53">
        <v>4000000</v>
      </c>
      <c r="J17" s="53">
        <v>0</v>
      </c>
      <c r="K17" s="53">
        <v>0</v>
      </c>
      <c r="L17" s="53">
        <v>0</v>
      </c>
      <c r="M17" s="115">
        <v>0</v>
      </c>
      <c r="N17" s="52">
        <f t="shared" si="2"/>
        <v>4000000</v>
      </c>
      <c r="O17" s="53">
        <v>0</v>
      </c>
      <c r="P17" s="53">
        <v>0</v>
      </c>
      <c r="Q17" s="53">
        <v>0</v>
      </c>
      <c r="R17" s="53">
        <v>4000000</v>
      </c>
      <c r="S17" s="53">
        <v>0</v>
      </c>
      <c r="T17" s="53">
        <v>0</v>
      </c>
      <c r="U17" s="53">
        <v>0</v>
      </c>
      <c r="V17" s="115">
        <v>0</v>
      </c>
      <c r="W17" s="157" t="s">
        <v>1139</v>
      </c>
    </row>
    <row r="18" spans="1:23" ht="18">
      <c r="A18" s="6"/>
      <c r="B18" s="6"/>
      <c r="C18" s="6" t="s">
        <v>470</v>
      </c>
      <c r="D18" s="9" t="s">
        <v>471</v>
      </c>
      <c r="E18" s="52">
        <f t="shared" si="0"/>
        <v>6261681</v>
      </c>
      <c r="F18" s="53">
        <v>0</v>
      </c>
      <c r="G18" s="53">
        <v>0</v>
      </c>
      <c r="H18" s="53">
        <v>0</v>
      </c>
      <c r="I18" s="53">
        <f>261681+6000000</f>
        <v>6261681</v>
      </c>
      <c r="J18" s="53">
        <v>0</v>
      </c>
      <c r="K18" s="53">
        <v>0</v>
      </c>
      <c r="L18" s="53">
        <v>0</v>
      </c>
      <c r="M18" s="115">
        <v>0</v>
      </c>
      <c r="N18" s="52">
        <f t="shared" si="2"/>
        <v>6261681</v>
      </c>
      <c r="O18" s="53">
        <v>0</v>
      </c>
      <c r="P18" s="53">
        <v>0</v>
      </c>
      <c r="Q18" s="53">
        <v>0</v>
      </c>
      <c r="R18" s="53">
        <v>6261681</v>
      </c>
      <c r="S18" s="53">
        <v>0</v>
      </c>
      <c r="T18" s="53">
        <v>0</v>
      </c>
      <c r="U18" s="53">
        <v>0</v>
      </c>
      <c r="V18" s="115">
        <v>0</v>
      </c>
      <c r="W18" s="157" t="s">
        <v>1140</v>
      </c>
    </row>
    <row r="19" spans="1:23" ht="18">
      <c r="A19" s="6"/>
      <c r="B19" s="6"/>
      <c r="C19" s="6" t="s">
        <v>472</v>
      </c>
      <c r="D19" s="9" t="s">
        <v>473</v>
      </c>
      <c r="E19" s="52">
        <f t="shared" si="0"/>
        <v>2500000</v>
      </c>
      <c r="F19" s="53">
        <v>0</v>
      </c>
      <c r="G19" s="53">
        <v>0</v>
      </c>
      <c r="H19" s="53">
        <v>0</v>
      </c>
      <c r="I19" s="53">
        <v>2500000</v>
      </c>
      <c r="J19" s="53">
        <v>0</v>
      </c>
      <c r="K19" s="53">
        <v>0</v>
      </c>
      <c r="L19" s="53">
        <v>0</v>
      </c>
      <c r="M19" s="115">
        <v>0</v>
      </c>
      <c r="N19" s="52">
        <f t="shared" si="2"/>
        <v>2500000</v>
      </c>
      <c r="O19" s="53">
        <v>0</v>
      </c>
      <c r="P19" s="53">
        <v>0</v>
      </c>
      <c r="Q19" s="53">
        <v>0</v>
      </c>
      <c r="R19" s="53">
        <v>2500000</v>
      </c>
      <c r="S19" s="53">
        <v>0</v>
      </c>
      <c r="T19" s="53">
        <v>0</v>
      </c>
      <c r="U19" s="53">
        <v>0</v>
      </c>
      <c r="V19" s="115">
        <v>0</v>
      </c>
      <c r="W19" s="157" t="s">
        <v>1141</v>
      </c>
    </row>
    <row r="20" spans="1:23" ht="18.75" customHeight="1">
      <c r="A20" s="6"/>
      <c r="B20" s="6"/>
      <c r="C20" s="6" t="s">
        <v>474</v>
      </c>
      <c r="D20" s="9" t="s">
        <v>475</v>
      </c>
      <c r="E20" s="52">
        <f t="shared" si="0"/>
        <v>2500000</v>
      </c>
      <c r="F20" s="53">
        <v>0</v>
      </c>
      <c r="G20" s="53">
        <v>0</v>
      </c>
      <c r="H20" s="53">
        <v>0</v>
      </c>
      <c r="I20" s="53">
        <v>2500000</v>
      </c>
      <c r="J20" s="53">
        <v>0</v>
      </c>
      <c r="K20" s="53">
        <v>0</v>
      </c>
      <c r="L20" s="53">
        <v>0</v>
      </c>
      <c r="M20" s="115">
        <v>0</v>
      </c>
      <c r="N20" s="52">
        <f t="shared" si="2"/>
        <v>1379766</v>
      </c>
      <c r="O20" s="53">
        <v>0</v>
      </c>
      <c r="P20" s="53">
        <v>0</v>
      </c>
      <c r="Q20" s="53">
        <v>0</v>
      </c>
      <c r="R20" s="53">
        <v>1379766</v>
      </c>
      <c r="S20" s="53">
        <v>0</v>
      </c>
      <c r="T20" s="53">
        <v>0</v>
      </c>
      <c r="U20" s="53">
        <v>0</v>
      </c>
      <c r="V20" s="115">
        <v>0</v>
      </c>
      <c r="W20" s="157" t="s">
        <v>1142</v>
      </c>
    </row>
    <row r="21" spans="1:23" s="66" customFormat="1" ht="18">
      <c r="A21" s="56"/>
      <c r="B21" s="56" t="s">
        <v>476</v>
      </c>
      <c r="C21" s="56"/>
      <c r="D21" s="63" t="s">
        <v>477</v>
      </c>
      <c r="E21" s="10">
        <f t="shared" si="0"/>
        <v>23210657</v>
      </c>
      <c r="F21" s="53">
        <v>0</v>
      </c>
      <c r="G21" s="53">
        <v>0</v>
      </c>
      <c r="H21" s="53">
        <v>0</v>
      </c>
      <c r="I21" s="53">
        <f>1210657+22000000</f>
        <v>23210657</v>
      </c>
      <c r="J21" s="53">
        <v>0</v>
      </c>
      <c r="K21" s="53">
        <v>0</v>
      </c>
      <c r="L21" s="53">
        <v>0</v>
      </c>
      <c r="M21" s="115">
        <v>0</v>
      </c>
      <c r="N21" s="10">
        <f t="shared" si="2"/>
        <v>23210657</v>
      </c>
      <c r="O21" s="53">
        <v>0</v>
      </c>
      <c r="P21" s="53">
        <v>0</v>
      </c>
      <c r="Q21" s="53">
        <v>0</v>
      </c>
      <c r="R21" s="53">
        <v>23210657</v>
      </c>
      <c r="S21" s="53">
        <v>0</v>
      </c>
      <c r="T21" s="53">
        <v>0</v>
      </c>
      <c r="U21" s="53">
        <v>0</v>
      </c>
      <c r="V21" s="115">
        <v>0</v>
      </c>
      <c r="W21" s="157" t="s">
        <v>1146</v>
      </c>
    </row>
    <row r="22" spans="1:23" s="66" customFormat="1" ht="18">
      <c r="A22" s="56"/>
      <c r="B22" s="56" t="s">
        <v>478</v>
      </c>
      <c r="C22" s="56"/>
      <c r="D22" s="63" t="s">
        <v>960</v>
      </c>
      <c r="E22" s="10">
        <f t="shared" si="0"/>
        <v>13578430</v>
      </c>
      <c r="F22" s="53">
        <v>0</v>
      </c>
      <c r="G22" s="53">
        <v>0</v>
      </c>
      <c r="H22" s="53">
        <v>0</v>
      </c>
      <c r="I22" s="53">
        <f>9000000+4578430</f>
        <v>13578430</v>
      </c>
      <c r="J22" s="53">
        <v>0</v>
      </c>
      <c r="K22" s="53">
        <v>0</v>
      </c>
      <c r="L22" s="53">
        <v>0</v>
      </c>
      <c r="M22" s="115">
        <v>0</v>
      </c>
      <c r="N22" s="10">
        <f t="shared" si="2"/>
        <v>13578430</v>
      </c>
      <c r="O22" s="53">
        <v>0</v>
      </c>
      <c r="P22" s="53">
        <v>0</v>
      </c>
      <c r="Q22" s="53">
        <v>4677079</v>
      </c>
      <c r="R22" s="53">
        <v>4372329</v>
      </c>
      <c r="S22" s="53">
        <v>4529022</v>
      </c>
      <c r="T22" s="53">
        <v>0</v>
      </c>
      <c r="U22" s="53">
        <v>0</v>
      </c>
      <c r="V22" s="115">
        <v>0</v>
      </c>
      <c r="W22" s="157">
        <v>55105</v>
      </c>
    </row>
    <row r="23" spans="1:23" s="66" customFormat="1" ht="18">
      <c r="A23" s="56" t="s">
        <v>102</v>
      </c>
      <c r="B23" s="56"/>
      <c r="C23" s="56"/>
      <c r="D23" s="57" t="s">
        <v>41</v>
      </c>
      <c r="E23" s="10">
        <f>SUM(F23:M23)</f>
        <v>197334600</v>
      </c>
      <c r="F23" s="58">
        <f aca="true" t="shared" si="6" ref="F23:M23">SUM(F24:F26)</f>
        <v>0</v>
      </c>
      <c r="G23" s="58">
        <f t="shared" si="6"/>
        <v>0</v>
      </c>
      <c r="H23" s="58">
        <f t="shared" si="6"/>
        <v>0</v>
      </c>
      <c r="I23" s="58">
        <f>SUM(I24:I27)</f>
        <v>197334600</v>
      </c>
      <c r="J23" s="58">
        <f t="shared" si="6"/>
        <v>0</v>
      </c>
      <c r="K23" s="58">
        <f t="shared" si="6"/>
        <v>0</v>
      </c>
      <c r="L23" s="58">
        <f t="shared" si="6"/>
        <v>0</v>
      </c>
      <c r="M23" s="64">
        <f t="shared" si="6"/>
        <v>0</v>
      </c>
      <c r="N23" s="10">
        <f aca="true" t="shared" si="7" ref="N23:N29">SUM(O23:V23)</f>
        <v>192334600</v>
      </c>
      <c r="O23" s="58">
        <f>SUM(O24:O26)</f>
        <v>0</v>
      </c>
      <c r="P23" s="58">
        <f>SUM(P24:P26)</f>
        <v>0</v>
      </c>
      <c r="Q23" s="58">
        <f>SUM(Q24:Q26)</f>
        <v>0</v>
      </c>
      <c r="R23" s="58">
        <f>SUM(R24:R27)</f>
        <v>192334600</v>
      </c>
      <c r="S23" s="58">
        <f>SUM(S24:S26)</f>
        <v>0</v>
      </c>
      <c r="T23" s="58">
        <f>SUM(T24:T26)</f>
        <v>0</v>
      </c>
      <c r="U23" s="58">
        <f>SUM(U24:U26)</f>
        <v>0</v>
      </c>
      <c r="V23" s="64">
        <f>SUM(V24:V26)</f>
        <v>0</v>
      </c>
      <c r="W23" s="157"/>
    </row>
    <row r="24" spans="1:23" ht="30">
      <c r="A24" s="6"/>
      <c r="B24" s="6" t="s">
        <v>479</v>
      </c>
      <c r="C24" s="6"/>
      <c r="D24" s="9" t="s">
        <v>480</v>
      </c>
      <c r="E24" s="52">
        <f t="shared" si="0"/>
        <v>155000000</v>
      </c>
      <c r="F24" s="53">
        <v>0</v>
      </c>
      <c r="G24" s="53">
        <v>0</v>
      </c>
      <c r="H24" s="53">
        <v>0</v>
      </c>
      <c r="I24" s="53">
        <v>155000000</v>
      </c>
      <c r="J24" s="53">
        <v>0</v>
      </c>
      <c r="K24" s="53">
        <v>0</v>
      </c>
      <c r="L24" s="53">
        <v>0</v>
      </c>
      <c r="M24" s="115">
        <v>0</v>
      </c>
      <c r="N24" s="52">
        <f t="shared" si="7"/>
        <v>155000000</v>
      </c>
      <c r="O24" s="53">
        <v>0</v>
      </c>
      <c r="P24" s="53">
        <v>0</v>
      </c>
      <c r="Q24" s="53">
        <v>0</v>
      </c>
      <c r="R24" s="53">
        <v>155000000</v>
      </c>
      <c r="S24" s="53">
        <v>0</v>
      </c>
      <c r="T24" s="53">
        <v>0</v>
      </c>
      <c r="U24" s="53">
        <v>0</v>
      </c>
      <c r="V24" s="115">
        <v>0</v>
      </c>
      <c r="W24" s="157" t="s">
        <v>1143</v>
      </c>
    </row>
    <row r="25" spans="1:23" ht="18">
      <c r="A25" s="6"/>
      <c r="B25" s="6" t="s">
        <v>481</v>
      </c>
      <c r="C25" s="6"/>
      <c r="D25" s="9" t="s">
        <v>482</v>
      </c>
      <c r="E25" s="52">
        <f t="shared" si="0"/>
        <v>33334600</v>
      </c>
      <c r="F25" s="53">
        <v>0</v>
      </c>
      <c r="G25" s="53">
        <v>0</v>
      </c>
      <c r="H25" s="53">
        <v>0</v>
      </c>
      <c r="I25" s="53">
        <f>334600+33000000</f>
        <v>33334600</v>
      </c>
      <c r="J25" s="53">
        <v>0</v>
      </c>
      <c r="K25" s="53">
        <v>0</v>
      </c>
      <c r="L25" s="53">
        <v>0</v>
      </c>
      <c r="M25" s="115">
        <v>0</v>
      </c>
      <c r="N25" s="52">
        <f t="shared" si="7"/>
        <v>33334600</v>
      </c>
      <c r="O25" s="53">
        <v>0</v>
      </c>
      <c r="P25" s="53">
        <v>0</v>
      </c>
      <c r="Q25" s="53">
        <v>0</v>
      </c>
      <c r="R25" s="53">
        <v>33334600</v>
      </c>
      <c r="S25" s="53">
        <v>0</v>
      </c>
      <c r="T25" s="53">
        <v>0</v>
      </c>
      <c r="U25" s="53">
        <v>0</v>
      </c>
      <c r="V25" s="115">
        <v>0</v>
      </c>
      <c r="W25" s="157" t="s">
        <v>1144</v>
      </c>
    </row>
    <row r="26" spans="1:23" ht="18">
      <c r="A26" s="6"/>
      <c r="B26" s="6" t="s">
        <v>483</v>
      </c>
      <c r="C26" s="6"/>
      <c r="D26" s="9" t="s">
        <v>484</v>
      </c>
      <c r="E26" s="52">
        <f t="shared" si="0"/>
        <v>4000000</v>
      </c>
      <c r="F26" s="53">
        <v>0</v>
      </c>
      <c r="G26" s="53">
        <v>0</v>
      </c>
      <c r="H26" s="53">
        <v>0</v>
      </c>
      <c r="I26" s="53">
        <v>4000000</v>
      </c>
      <c r="J26" s="53">
        <v>0</v>
      </c>
      <c r="K26" s="53">
        <v>0</v>
      </c>
      <c r="L26" s="53">
        <v>0</v>
      </c>
      <c r="M26" s="115">
        <v>0</v>
      </c>
      <c r="N26" s="52">
        <f t="shared" si="7"/>
        <v>4000000</v>
      </c>
      <c r="O26" s="53">
        <v>0</v>
      </c>
      <c r="P26" s="53">
        <v>0</v>
      </c>
      <c r="Q26" s="53">
        <v>0</v>
      </c>
      <c r="R26" s="53">
        <v>4000000</v>
      </c>
      <c r="S26" s="53">
        <v>0</v>
      </c>
      <c r="T26" s="53">
        <v>0</v>
      </c>
      <c r="U26" s="53">
        <v>0</v>
      </c>
      <c r="V26" s="115">
        <v>0</v>
      </c>
      <c r="W26" s="157" t="s">
        <v>1145</v>
      </c>
    </row>
    <row r="27" spans="1:23" ht="18">
      <c r="A27" s="174"/>
      <c r="B27" s="56" t="s">
        <v>1271</v>
      </c>
      <c r="C27" s="56"/>
      <c r="D27" s="63" t="s">
        <v>1272</v>
      </c>
      <c r="E27" s="52">
        <f t="shared" si="0"/>
        <v>5000000</v>
      </c>
      <c r="F27" s="53">
        <v>0</v>
      </c>
      <c r="G27" s="53">
        <v>0</v>
      </c>
      <c r="H27" s="53">
        <v>0</v>
      </c>
      <c r="I27" s="53">
        <v>5000000</v>
      </c>
      <c r="J27" s="53">
        <v>0</v>
      </c>
      <c r="K27" s="53">
        <v>0</v>
      </c>
      <c r="L27" s="53">
        <v>0</v>
      </c>
      <c r="M27" s="115">
        <v>0</v>
      </c>
      <c r="N27" s="52">
        <f t="shared" si="7"/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115">
        <v>0</v>
      </c>
      <c r="W27" s="206">
        <v>55224</v>
      </c>
    </row>
    <row r="28" spans="1:23" s="66" customFormat="1" ht="18">
      <c r="A28" s="56" t="s">
        <v>103</v>
      </c>
      <c r="B28" s="56"/>
      <c r="C28" s="56"/>
      <c r="D28" s="57" t="s">
        <v>43</v>
      </c>
      <c r="E28" s="10">
        <f t="shared" si="0"/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61">
        <v>0</v>
      </c>
      <c r="N28" s="10">
        <f t="shared" si="7"/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61">
        <v>0</v>
      </c>
      <c r="W28" s="157"/>
    </row>
    <row r="29" spans="1:23" ht="34.5" customHeight="1">
      <c r="A29" s="454" t="s">
        <v>286</v>
      </c>
      <c r="B29" s="454"/>
      <c r="C29" s="454"/>
      <c r="D29" s="454"/>
      <c r="E29" s="10">
        <f t="shared" si="0"/>
        <v>381414570</v>
      </c>
      <c r="F29" s="58">
        <f aca="true" t="shared" si="8" ref="F29:M29">F10+F23+F28</f>
        <v>0</v>
      </c>
      <c r="G29" s="58">
        <f t="shared" si="8"/>
        <v>0</v>
      </c>
      <c r="H29" s="58">
        <f t="shared" si="8"/>
        <v>0</v>
      </c>
      <c r="I29" s="58">
        <f t="shared" si="8"/>
        <v>381414570</v>
      </c>
      <c r="J29" s="58">
        <f t="shared" si="8"/>
        <v>0</v>
      </c>
      <c r="K29" s="58">
        <f t="shared" si="8"/>
        <v>0</v>
      </c>
      <c r="L29" s="58">
        <f t="shared" si="8"/>
        <v>0</v>
      </c>
      <c r="M29" s="64">
        <f t="shared" si="8"/>
        <v>0</v>
      </c>
      <c r="N29" s="10">
        <f t="shared" si="7"/>
        <v>375294336</v>
      </c>
      <c r="O29" s="58">
        <f aca="true" t="shared" si="9" ref="O29:V29">O10+O23+O28</f>
        <v>0</v>
      </c>
      <c r="P29" s="58">
        <f t="shared" si="9"/>
        <v>0</v>
      </c>
      <c r="Q29" s="58">
        <f t="shared" si="9"/>
        <v>4677079</v>
      </c>
      <c r="R29" s="58">
        <f>R10+R23+R28</f>
        <v>366088235</v>
      </c>
      <c r="S29" s="58">
        <f t="shared" si="9"/>
        <v>4529022</v>
      </c>
      <c r="T29" s="58">
        <f t="shared" si="9"/>
        <v>0</v>
      </c>
      <c r="U29" s="58">
        <f t="shared" si="9"/>
        <v>0</v>
      </c>
      <c r="V29" s="64">
        <f t="shared" si="9"/>
        <v>0</v>
      </c>
      <c r="W29" s="140"/>
    </row>
    <row r="30" ht="18" customHeight="1"/>
    <row r="33" s="82" customFormat="1" ht="23.25" customHeight="1"/>
    <row r="34" s="82" customFormat="1" ht="27.75" customHeight="1"/>
    <row r="35" s="82" customFormat="1" ht="14.25"/>
    <row r="36" s="82" customFormat="1" ht="14.25"/>
  </sheetData>
  <sheetProtection selectLockedCells="1" selectUnlockedCells="1"/>
  <mergeCells count="18">
    <mergeCell ref="A2:W2"/>
    <mergeCell ref="W7:W10"/>
    <mergeCell ref="O7:V7"/>
    <mergeCell ref="O8:S8"/>
    <mergeCell ref="T8:V8"/>
    <mergeCell ref="A1:W1"/>
    <mergeCell ref="A3:W3"/>
    <mergeCell ref="A4:W4"/>
    <mergeCell ref="N7:N9"/>
    <mergeCell ref="A7:A9"/>
    <mergeCell ref="E7:E9"/>
    <mergeCell ref="A29:D29"/>
    <mergeCell ref="B7:B9"/>
    <mergeCell ref="F7:M7"/>
    <mergeCell ref="C7:C9"/>
    <mergeCell ref="D7:D9"/>
    <mergeCell ref="F8:J8"/>
    <mergeCell ref="K8:M8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paperSize="9" scale="3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7"/>
  <sheetViews>
    <sheetView view="pageBreakPreview" zoomScale="70" zoomScaleNormal="71" zoomScaleSheetLayoutView="70" zoomScalePageLayoutView="0" workbookViewId="0" topLeftCell="A1">
      <pane xSplit="4" ySplit="10" topLeftCell="G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:W1"/>
    </sheetView>
  </sheetViews>
  <sheetFormatPr defaultColWidth="9.140625" defaultRowHeight="12.75"/>
  <cols>
    <col min="1" max="1" width="7.140625" style="207" customWidth="1"/>
    <col min="2" max="2" width="10.57421875" style="207" customWidth="1"/>
    <col min="3" max="3" width="12.8515625" style="207" customWidth="1"/>
    <col min="4" max="4" width="62.28125" style="207" customWidth="1"/>
    <col min="5" max="5" width="16.8515625" style="207" customWidth="1"/>
    <col min="6" max="7" width="14.57421875" style="207" customWidth="1"/>
    <col min="8" max="8" width="15.28125" style="207" customWidth="1"/>
    <col min="9" max="9" width="14.57421875" style="207" customWidth="1"/>
    <col min="10" max="10" width="16.140625" style="207" customWidth="1"/>
    <col min="11" max="11" width="16.421875" style="207" customWidth="1"/>
    <col min="12" max="12" width="14.57421875" style="207" customWidth="1"/>
    <col min="13" max="13" width="15.421875" style="207" customWidth="1"/>
    <col min="14" max="14" width="22.421875" style="207" customWidth="1"/>
    <col min="15" max="16" width="14.57421875" style="207" customWidth="1"/>
    <col min="17" max="17" width="15.28125" style="207" customWidth="1"/>
    <col min="18" max="18" width="14.57421875" style="207" customWidth="1"/>
    <col min="19" max="19" width="17.421875" style="207" customWidth="1"/>
    <col min="20" max="20" width="16.421875" style="207" customWidth="1"/>
    <col min="21" max="21" width="14.57421875" style="207" customWidth="1"/>
    <col min="22" max="22" width="15.421875" style="207" customWidth="1"/>
    <col min="23" max="23" width="16.140625" style="207" customWidth="1"/>
    <col min="24" max="16384" width="9.140625" style="207" customWidth="1"/>
  </cols>
  <sheetData>
    <row r="1" spans="1:23" ht="18">
      <c r="A1" s="431" t="s">
        <v>1548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</row>
    <row r="2" spans="1:23" ht="18">
      <c r="A2" s="500" t="s">
        <v>1521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</row>
    <row r="3" spans="1:23" ht="18" customHeight="1">
      <c r="A3" s="423" t="s">
        <v>485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</row>
    <row r="4" spans="1:23" ht="18">
      <c r="A4" s="497" t="s">
        <v>943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</row>
    <row r="5" spans="1:23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N5" s="1"/>
      <c r="O5" s="1"/>
      <c r="P5" s="1"/>
      <c r="Q5" s="1"/>
      <c r="R5" s="1"/>
      <c r="S5" s="1"/>
      <c r="T5" s="1"/>
      <c r="U5" s="1"/>
      <c r="W5" s="382" t="s">
        <v>0</v>
      </c>
    </row>
    <row r="6" spans="1:23" ht="15" customHeight="1">
      <c r="A6" s="144" t="s">
        <v>1</v>
      </c>
      <c r="B6" s="144" t="s">
        <v>2</v>
      </c>
      <c r="C6" s="144" t="s">
        <v>3</v>
      </c>
      <c r="D6" s="144" t="s">
        <v>4</v>
      </c>
      <c r="E6" s="144" t="s">
        <v>5</v>
      </c>
      <c r="F6" s="144" t="s">
        <v>6</v>
      </c>
      <c r="G6" s="144" t="s">
        <v>7</v>
      </c>
      <c r="H6" s="144" t="s">
        <v>8</v>
      </c>
      <c r="I6" s="144" t="s">
        <v>9</v>
      </c>
      <c r="J6" s="145" t="s">
        <v>10</v>
      </c>
      <c r="K6" s="144" t="s">
        <v>11</v>
      </c>
      <c r="L6" s="146" t="s">
        <v>12</v>
      </c>
      <c r="M6" s="147" t="s">
        <v>13</v>
      </c>
      <c r="N6" s="144" t="s">
        <v>14</v>
      </c>
      <c r="O6" s="144" t="s">
        <v>15</v>
      </c>
      <c r="P6" s="144" t="s">
        <v>16</v>
      </c>
      <c r="Q6" s="144" t="s">
        <v>17</v>
      </c>
      <c r="R6" s="144" t="s">
        <v>18</v>
      </c>
      <c r="S6" s="145" t="s">
        <v>19</v>
      </c>
      <c r="T6" s="144" t="s">
        <v>20</v>
      </c>
      <c r="U6" s="146" t="s">
        <v>21</v>
      </c>
      <c r="V6" s="147" t="s">
        <v>179</v>
      </c>
      <c r="W6" s="154" t="s">
        <v>180</v>
      </c>
    </row>
    <row r="7" spans="1:23" ht="12.75" customHeight="1">
      <c r="A7" s="512" t="s">
        <v>23</v>
      </c>
      <c r="B7" s="512" t="s">
        <v>183</v>
      </c>
      <c r="C7" s="512" t="s">
        <v>320</v>
      </c>
      <c r="D7" s="455" t="s">
        <v>24</v>
      </c>
      <c r="E7" s="455" t="s">
        <v>1262</v>
      </c>
      <c r="F7" s="455" t="s">
        <v>25</v>
      </c>
      <c r="G7" s="455"/>
      <c r="H7" s="455"/>
      <c r="I7" s="455"/>
      <c r="J7" s="455"/>
      <c r="K7" s="455"/>
      <c r="L7" s="455"/>
      <c r="M7" s="455"/>
      <c r="N7" s="455" t="s">
        <v>1467</v>
      </c>
      <c r="O7" s="455" t="s">
        <v>1466</v>
      </c>
      <c r="P7" s="455"/>
      <c r="Q7" s="455"/>
      <c r="R7" s="455"/>
      <c r="S7" s="455"/>
      <c r="T7" s="455"/>
      <c r="U7" s="455"/>
      <c r="V7" s="455"/>
      <c r="W7" s="462" t="s">
        <v>1012</v>
      </c>
    </row>
    <row r="8" spans="1:23" ht="12.75" customHeight="1">
      <c r="A8" s="512"/>
      <c r="B8" s="512"/>
      <c r="C8" s="512"/>
      <c r="D8" s="455"/>
      <c r="E8" s="455"/>
      <c r="F8" s="501" t="s">
        <v>26</v>
      </c>
      <c r="G8" s="501"/>
      <c r="H8" s="501"/>
      <c r="I8" s="501"/>
      <c r="J8" s="501"/>
      <c r="K8" s="501" t="s">
        <v>27</v>
      </c>
      <c r="L8" s="501"/>
      <c r="M8" s="501"/>
      <c r="N8" s="455"/>
      <c r="O8" s="501" t="s">
        <v>26</v>
      </c>
      <c r="P8" s="501"/>
      <c r="Q8" s="501"/>
      <c r="R8" s="501"/>
      <c r="S8" s="501"/>
      <c r="T8" s="501" t="s">
        <v>27</v>
      </c>
      <c r="U8" s="501"/>
      <c r="V8" s="501"/>
      <c r="W8" s="462"/>
    </row>
    <row r="9" spans="1:23" ht="94.5" customHeight="1">
      <c r="A9" s="512"/>
      <c r="B9" s="512"/>
      <c r="C9" s="512"/>
      <c r="D9" s="455"/>
      <c r="E9" s="455"/>
      <c r="F9" s="40" t="s">
        <v>28</v>
      </c>
      <c r="G9" s="40" t="s">
        <v>29</v>
      </c>
      <c r="H9" s="40" t="s">
        <v>30</v>
      </c>
      <c r="I9" s="40" t="s">
        <v>31</v>
      </c>
      <c r="J9" s="40" t="s">
        <v>32</v>
      </c>
      <c r="K9" s="40" t="s">
        <v>33</v>
      </c>
      <c r="L9" s="40" t="s">
        <v>34</v>
      </c>
      <c r="M9" s="40" t="s">
        <v>35</v>
      </c>
      <c r="N9" s="455"/>
      <c r="O9" s="40" t="s">
        <v>28</v>
      </c>
      <c r="P9" s="40" t="s">
        <v>29</v>
      </c>
      <c r="Q9" s="40" t="s">
        <v>30</v>
      </c>
      <c r="R9" s="40" t="s">
        <v>31</v>
      </c>
      <c r="S9" s="40" t="s">
        <v>32</v>
      </c>
      <c r="T9" s="40" t="s">
        <v>33</v>
      </c>
      <c r="U9" s="40" t="s">
        <v>34</v>
      </c>
      <c r="V9" s="40" t="s">
        <v>35</v>
      </c>
      <c r="W9" s="462"/>
    </row>
    <row r="10" spans="1:23" ht="18">
      <c r="A10" s="6" t="s">
        <v>111</v>
      </c>
      <c r="B10" s="6"/>
      <c r="C10" s="6"/>
      <c r="D10" s="41" t="s">
        <v>39</v>
      </c>
      <c r="E10" s="10">
        <f>SUM(F10:M10)</f>
        <v>236080869</v>
      </c>
      <c r="F10" s="58">
        <f>SUM(F11:F30)+F42+F43+F44+F45+F46+F47</f>
        <v>3620959</v>
      </c>
      <c r="G10" s="58">
        <f aca="true" t="shared" si="0" ref="G10:M10">SUM(G11:G30)+G42+G43+G44+G45+G46+G47</f>
        <v>4491759</v>
      </c>
      <c r="H10" s="58">
        <f t="shared" si="0"/>
        <v>45610627</v>
      </c>
      <c r="I10" s="58">
        <f t="shared" si="0"/>
        <v>0</v>
      </c>
      <c r="J10" s="58">
        <f t="shared" si="0"/>
        <v>89942924</v>
      </c>
      <c r="K10" s="58">
        <f t="shared" si="0"/>
        <v>40614600</v>
      </c>
      <c r="L10" s="58">
        <f t="shared" si="0"/>
        <v>0</v>
      </c>
      <c r="M10" s="58">
        <f t="shared" si="0"/>
        <v>51800000</v>
      </c>
      <c r="N10" s="10">
        <f aca="true" t="shared" si="1" ref="N10:N15">SUM(O10:V10)</f>
        <v>178398461</v>
      </c>
      <c r="O10" s="58">
        <f>SUM(O11:O30)+O42+O43+O44+O45+O46+O47</f>
        <v>906040</v>
      </c>
      <c r="P10" s="58">
        <f aca="true" t="shared" si="2" ref="P10:V10">SUM(P11:P30)+P42+P43+P44+P45+P46+P47</f>
        <v>3826666</v>
      </c>
      <c r="Q10" s="58">
        <f t="shared" si="2"/>
        <v>33673744</v>
      </c>
      <c r="R10" s="58">
        <f t="shared" si="2"/>
        <v>0</v>
      </c>
      <c r="S10" s="58">
        <f t="shared" si="2"/>
        <v>54139516</v>
      </c>
      <c r="T10" s="58">
        <f t="shared" si="2"/>
        <v>41552495</v>
      </c>
      <c r="U10" s="58">
        <f t="shared" si="2"/>
        <v>0</v>
      </c>
      <c r="V10" s="58">
        <f t="shared" si="2"/>
        <v>44300000</v>
      </c>
      <c r="W10" s="462"/>
    </row>
    <row r="11" spans="1:23" ht="30">
      <c r="A11" s="6"/>
      <c r="B11" s="6" t="s">
        <v>486</v>
      </c>
      <c r="C11" s="6"/>
      <c r="D11" s="9" t="s">
        <v>487</v>
      </c>
      <c r="E11" s="52">
        <f aca="true" t="shared" si="3" ref="E11:E49">SUM(F11:M11)</f>
        <v>9852869</v>
      </c>
      <c r="F11" s="53">
        <f>500000+42219</f>
        <v>542219</v>
      </c>
      <c r="G11" s="53">
        <f>250000+6650</f>
        <v>256650</v>
      </c>
      <c r="H11" s="53">
        <f>7050000+4000</f>
        <v>7054000</v>
      </c>
      <c r="I11" s="53">
        <v>0</v>
      </c>
      <c r="J11" s="53">
        <f>3000000-1000000</f>
        <v>2000000</v>
      </c>
      <c r="K11" s="53">
        <v>0</v>
      </c>
      <c r="L11" s="53">
        <v>0</v>
      </c>
      <c r="M11" s="115">
        <v>0</v>
      </c>
      <c r="N11" s="52">
        <f t="shared" si="1"/>
        <v>2068869</v>
      </c>
      <c r="O11" s="53">
        <v>542219</v>
      </c>
      <c r="P11" s="53">
        <v>256650</v>
      </c>
      <c r="Q11" s="53">
        <v>1270000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155" t="s">
        <v>1147</v>
      </c>
    </row>
    <row r="12" spans="1:23" ht="18">
      <c r="A12" s="6"/>
      <c r="B12" s="6" t="s">
        <v>488</v>
      </c>
      <c r="C12" s="6"/>
      <c r="D12" s="9" t="s">
        <v>489</v>
      </c>
      <c r="E12" s="52">
        <f t="shared" si="3"/>
        <v>3800400</v>
      </c>
      <c r="F12" s="53">
        <v>300000</v>
      </c>
      <c r="G12" s="53">
        <v>150000</v>
      </c>
      <c r="H12" s="53">
        <f>4121800+228600-1000000</f>
        <v>3350400</v>
      </c>
      <c r="I12" s="53">
        <v>0</v>
      </c>
      <c r="J12" s="53">
        <v>0</v>
      </c>
      <c r="K12" s="53">
        <v>0</v>
      </c>
      <c r="L12" s="53">
        <v>0</v>
      </c>
      <c r="M12" s="115">
        <v>0</v>
      </c>
      <c r="N12" s="52">
        <f t="shared" si="1"/>
        <v>2400400</v>
      </c>
      <c r="O12" s="53">
        <v>263606</v>
      </c>
      <c r="P12" s="53">
        <v>45000</v>
      </c>
      <c r="Q12" s="53">
        <v>2091794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155" t="s">
        <v>1148</v>
      </c>
    </row>
    <row r="13" spans="1:23" ht="30">
      <c r="A13" s="6"/>
      <c r="B13" s="6" t="s">
        <v>490</v>
      </c>
      <c r="C13" s="6"/>
      <c r="D13" s="9" t="s">
        <v>966</v>
      </c>
      <c r="E13" s="52">
        <f t="shared" si="3"/>
        <v>4345000</v>
      </c>
      <c r="F13" s="53">
        <v>0</v>
      </c>
      <c r="G13" s="53">
        <v>0</v>
      </c>
      <c r="H13" s="53">
        <f>2500000+345000-1000000</f>
        <v>1845000</v>
      </c>
      <c r="I13" s="53">
        <v>0</v>
      </c>
      <c r="J13" s="53">
        <f>500000+2000000</f>
        <v>2500000</v>
      </c>
      <c r="K13" s="53">
        <v>0</v>
      </c>
      <c r="L13" s="53">
        <v>0</v>
      </c>
      <c r="M13" s="115">
        <v>0</v>
      </c>
      <c r="N13" s="52">
        <f t="shared" si="1"/>
        <v>2500000</v>
      </c>
      <c r="O13" s="53">
        <v>0</v>
      </c>
      <c r="P13" s="53">
        <v>0</v>
      </c>
      <c r="Q13" s="53">
        <v>0</v>
      </c>
      <c r="R13" s="53">
        <v>0</v>
      </c>
      <c r="S13" s="53">
        <v>2500000</v>
      </c>
      <c r="T13" s="53">
        <v>0</v>
      </c>
      <c r="U13" s="53">
        <v>0</v>
      </c>
      <c r="V13" s="53">
        <v>0</v>
      </c>
      <c r="W13" s="155" t="s">
        <v>1149</v>
      </c>
    </row>
    <row r="14" spans="1:23" ht="18">
      <c r="A14" s="6"/>
      <c r="B14" s="6" t="s">
        <v>491</v>
      </c>
      <c r="C14" s="6"/>
      <c r="D14" s="9" t="s">
        <v>759</v>
      </c>
      <c r="E14" s="52">
        <f t="shared" si="3"/>
        <v>500000</v>
      </c>
      <c r="F14" s="53">
        <v>0</v>
      </c>
      <c r="G14" s="53">
        <v>0</v>
      </c>
      <c r="H14" s="53">
        <v>500000</v>
      </c>
      <c r="I14" s="53">
        <v>0</v>
      </c>
      <c r="J14" s="53">
        <v>0</v>
      </c>
      <c r="K14" s="53">
        <v>0</v>
      </c>
      <c r="L14" s="53">
        <v>0</v>
      </c>
      <c r="M14" s="115">
        <v>0</v>
      </c>
      <c r="N14" s="52">
        <f t="shared" si="1"/>
        <v>500000</v>
      </c>
      <c r="O14" s="53">
        <v>0</v>
      </c>
      <c r="P14" s="53">
        <v>0</v>
      </c>
      <c r="Q14" s="53">
        <v>463805</v>
      </c>
      <c r="R14" s="53">
        <v>0</v>
      </c>
      <c r="S14" s="53">
        <v>0</v>
      </c>
      <c r="T14" s="53">
        <v>36195</v>
      </c>
      <c r="U14" s="53">
        <v>0</v>
      </c>
      <c r="V14" s="53">
        <v>0</v>
      </c>
      <c r="W14" s="155" t="s">
        <v>1150</v>
      </c>
    </row>
    <row r="15" spans="1:23" ht="18">
      <c r="A15" s="6"/>
      <c r="B15" s="6" t="s">
        <v>492</v>
      </c>
      <c r="C15" s="6"/>
      <c r="D15" s="9" t="s">
        <v>493</v>
      </c>
      <c r="E15" s="52">
        <f t="shared" si="3"/>
        <v>6400000</v>
      </c>
      <c r="F15" s="53">
        <v>0</v>
      </c>
      <c r="G15" s="53"/>
      <c r="H15" s="53">
        <f>1000000+400000</f>
        <v>1400000</v>
      </c>
      <c r="I15" s="53">
        <v>0</v>
      </c>
      <c r="J15" s="53">
        <v>5000000</v>
      </c>
      <c r="K15" s="53">
        <v>0</v>
      </c>
      <c r="L15" s="53">
        <v>0</v>
      </c>
      <c r="M15" s="53">
        <v>0</v>
      </c>
      <c r="N15" s="52">
        <f t="shared" si="1"/>
        <v>410000</v>
      </c>
      <c r="O15" s="53">
        <v>0</v>
      </c>
      <c r="P15" s="53">
        <v>0</v>
      </c>
      <c r="Q15" s="53">
        <v>410000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155" t="s">
        <v>1151</v>
      </c>
    </row>
    <row r="16" spans="1:23" ht="18">
      <c r="A16" s="6"/>
      <c r="B16" s="6" t="s">
        <v>494</v>
      </c>
      <c r="C16" s="6"/>
      <c r="D16" s="9" t="s">
        <v>495</v>
      </c>
      <c r="E16" s="52">
        <f>SUM(G16:M16)</f>
        <v>24513417</v>
      </c>
      <c r="F16" s="112">
        <v>0</v>
      </c>
      <c r="G16" s="53">
        <f>3024000+437850</f>
        <v>3461850</v>
      </c>
      <c r="H16" s="53">
        <f>19200000+1851567</f>
        <v>21051567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2">
        <f>SUM(P16:V16)</f>
        <v>24513417</v>
      </c>
      <c r="O16" s="53">
        <v>0</v>
      </c>
      <c r="P16" s="53">
        <v>3461850</v>
      </c>
      <c r="Q16" s="53">
        <v>21051567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155" t="s">
        <v>1152</v>
      </c>
    </row>
    <row r="17" spans="1:23" ht="18">
      <c r="A17" s="6"/>
      <c r="B17" s="6" t="s">
        <v>496</v>
      </c>
      <c r="C17" s="6"/>
      <c r="D17" s="9" t="s">
        <v>497</v>
      </c>
      <c r="E17" s="52">
        <f t="shared" si="3"/>
        <v>1000000</v>
      </c>
      <c r="F17" s="53">
        <v>0</v>
      </c>
      <c r="G17" s="53">
        <v>0</v>
      </c>
      <c r="H17" s="53">
        <v>0</v>
      </c>
      <c r="I17" s="53">
        <v>0</v>
      </c>
      <c r="J17" s="53">
        <v>1000000</v>
      </c>
      <c r="K17" s="53">
        <v>0</v>
      </c>
      <c r="L17" s="53">
        <v>0</v>
      </c>
      <c r="M17" s="53">
        <v>0</v>
      </c>
      <c r="N17" s="52">
        <f aca="true" t="shared" si="4" ref="N17:N50">SUM(O17:V17)</f>
        <v>1000000</v>
      </c>
      <c r="O17" s="53">
        <v>0</v>
      </c>
      <c r="P17" s="53">
        <v>0</v>
      </c>
      <c r="Q17" s="53">
        <v>0</v>
      </c>
      <c r="R17" s="53">
        <v>0</v>
      </c>
      <c r="S17" s="53">
        <v>1000000</v>
      </c>
      <c r="T17" s="53">
        <v>0</v>
      </c>
      <c r="U17" s="53">
        <v>0</v>
      </c>
      <c r="V17" s="53">
        <v>0</v>
      </c>
      <c r="W17" s="155" t="s">
        <v>1153</v>
      </c>
    </row>
    <row r="18" spans="1:23" ht="18">
      <c r="A18" s="6"/>
      <c r="B18" s="6" t="s">
        <v>498</v>
      </c>
      <c r="C18" s="6"/>
      <c r="D18" s="9" t="s">
        <v>699</v>
      </c>
      <c r="E18" s="52">
        <f t="shared" si="3"/>
        <v>5000000</v>
      </c>
      <c r="F18" s="53">
        <v>0</v>
      </c>
      <c r="G18" s="53">
        <v>0</v>
      </c>
      <c r="H18" s="53">
        <v>0</v>
      </c>
      <c r="I18" s="53">
        <v>0</v>
      </c>
      <c r="J18" s="53">
        <v>5000000</v>
      </c>
      <c r="K18" s="53">
        <v>0</v>
      </c>
      <c r="L18" s="53">
        <v>0</v>
      </c>
      <c r="M18" s="53">
        <v>0</v>
      </c>
      <c r="N18" s="52">
        <f t="shared" si="4"/>
        <v>142500</v>
      </c>
      <c r="O18" s="53">
        <v>0</v>
      </c>
      <c r="P18" s="53">
        <v>0</v>
      </c>
      <c r="Q18" s="53">
        <v>0</v>
      </c>
      <c r="R18" s="53">
        <v>0</v>
      </c>
      <c r="S18" s="53">
        <v>142500</v>
      </c>
      <c r="T18" s="53">
        <v>0</v>
      </c>
      <c r="U18" s="53">
        <v>0</v>
      </c>
      <c r="V18" s="53">
        <v>0</v>
      </c>
      <c r="W18" s="155" t="s">
        <v>1154</v>
      </c>
    </row>
    <row r="19" spans="1:23" ht="30">
      <c r="A19" s="6"/>
      <c r="B19" s="6" t="s">
        <v>500</v>
      </c>
      <c r="C19" s="6"/>
      <c r="D19" s="9" t="s">
        <v>499</v>
      </c>
      <c r="E19" s="52">
        <f t="shared" si="3"/>
        <v>2500000</v>
      </c>
      <c r="F19" s="53">
        <v>0</v>
      </c>
      <c r="G19" s="53">
        <v>0</v>
      </c>
      <c r="H19" s="53">
        <v>0</v>
      </c>
      <c r="I19" s="53">
        <v>0</v>
      </c>
      <c r="J19" s="53">
        <v>2500000</v>
      </c>
      <c r="K19" s="53">
        <v>0</v>
      </c>
      <c r="L19" s="53">
        <v>0</v>
      </c>
      <c r="M19" s="53">
        <v>0</v>
      </c>
      <c r="N19" s="52">
        <f t="shared" si="4"/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155" t="s">
        <v>1155</v>
      </c>
    </row>
    <row r="20" spans="1:23" ht="18">
      <c r="A20" s="6"/>
      <c r="B20" s="6" t="s">
        <v>502</v>
      </c>
      <c r="C20" s="6"/>
      <c r="D20" s="9" t="s">
        <v>501</v>
      </c>
      <c r="E20" s="52">
        <f t="shared" si="3"/>
        <v>2987500</v>
      </c>
      <c r="F20" s="53">
        <v>2500000</v>
      </c>
      <c r="G20" s="53">
        <v>487500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2">
        <f t="shared" si="4"/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155" t="s">
        <v>1156</v>
      </c>
    </row>
    <row r="21" spans="1:23" ht="30.75" customHeight="1">
      <c r="A21" s="6"/>
      <c r="B21" s="6" t="s">
        <v>504</v>
      </c>
      <c r="C21" s="6"/>
      <c r="D21" s="67" t="s">
        <v>503</v>
      </c>
      <c r="E21" s="52">
        <f t="shared" si="3"/>
        <v>6824159</v>
      </c>
      <c r="F21" s="53">
        <v>278740</v>
      </c>
      <c r="G21" s="53">
        <v>135759</v>
      </c>
      <c r="H21" s="53">
        <f>5000000+2409660-1000000</f>
        <v>6409660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2">
        <f t="shared" si="4"/>
        <v>6951659</v>
      </c>
      <c r="O21" s="53">
        <v>0</v>
      </c>
      <c r="P21" s="53">
        <v>49186</v>
      </c>
      <c r="Q21" s="53">
        <v>6902473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155" t="s">
        <v>1157</v>
      </c>
    </row>
    <row r="22" spans="1:23" ht="23.25" customHeight="1">
      <c r="A22" s="6"/>
      <c r="B22" s="6" t="s">
        <v>505</v>
      </c>
      <c r="C22" s="6"/>
      <c r="D22" s="9" t="s">
        <v>704</v>
      </c>
      <c r="E22" s="52">
        <f t="shared" si="3"/>
        <v>4892924</v>
      </c>
      <c r="F22" s="53">
        <v>0</v>
      </c>
      <c r="G22" s="53">
        <v>0</v>
      </c>
      <c r="H22" s="53">
        <v>0</v>
      </c>
      <c r="I22" s="53">
        <v>0</v>
      </c>
      <c r="J22" s="53">
        <v>4892924</v>
      </c>
      <c r="K22" s="53">
        <v>0</v>
      </c>
      <c r="L22" s="53">
        <v>0</v>
      </c>
      <c r="M22" s="53">
        <v>0</v>
      </c>
      <c r="N22" s="52">
        <f t="shared" si="4"/>
        <v>4892924</v>
      </c>
      <c r="O22" s="53">
        <v>0</v>
      </c>
      <c r="P22" s="53">
        <v>0</v>
      </c>
      <c r="Q22" s="53">
        <v>0</v>
      </c>
      <c r="R22" s="53">
        <v>0</v>
      </c>
      <c r="S22" s="53">
        <v>4892924</v>
      </c>
      <c r="T22" s="53">
        <v>0</v>
      </c>
      <c r="U22" s="53">
        <v>0</v>
      </c>
      <c r="V22" s="53">
        <v>0</v>
      </c>
      <c r="W22" s="294">
        <v>56114</v>
      </c>
    </row>
    <row r="23" spans="1:23" ht="32.25" customHeight="1">
      <c r="A23" s="6"/>
      <c r="B23" s="6" t="s">
        <v>506</v>
      </c>
      <c r="C23" s="6"/>
      <c r="D23" s="9" t="s">
        <v>967</v>
      </c>
      <c r="E23" s="52">
        <f t="shared" si="3"/>
        <v>1000000</v>
      </c>
      <c r="F23" s="53">
        <v>0</v>
      </c>
      <c r="G23" s="53">
        <v>0</v>
      </c>
      <c r="H23" s="53">
        <v>0</v>
      </c>
      <c r="I23" s="53">
        <v>0</v>
      </c>
      <c r="J23" s="53">
        <v>1000000</v>
      </c>
      <c r="K23" s="53">
        <v>0</v>
      </c>
      <c r="L23" s="53">
        <v>0</v>
      </c>
      <c r="M23" s="53">
        <v>0</v>
      </c>
      <c r="N23" s="52">
        <f t="shared" si="4"/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294" t="s">
        <v>1206</v>
      </c>
    </row>
    <row r="24" spans="1:23" ht="32.25" customHeight="1">
      <c r="A24" s="6"/>
      <c r="B24" s="6" t="s">
        <v>507</v>
      </c>
      <c r="C24" s="6"/>
      <c r="D24" s="9" t="s">
        <v>984</v>
      </c>
      <c r="E24" s="52">
        <f t="shared" si="3"/>
        <v>40614600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69">
        <v>40614600</v>
      </c>
      <c r="L24" s="53">
        <v>0</v>
      </c>
      <c r="M24" s="53">
        <v>0</v>
      </c>
      <c r="N24" s="52">
        <f t="shared" si="4"/>
        <v>40614600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40614600</v>
      </c>
      <c r="U24" s="53">
        <v>0</v>
      </c>
      <c r="V24" s="53">
        <v>0</v>
      </c>
      <c r="W24" s="294">
        <v>56156</v>
      </c>
    </row>
    <row r="25" spans="1:23" ht="32.25" customHeight="1">
      <c r="A25" s="6"/>
      <c r="B25" s="6" t="s">
        <v>508</v>
      </c>
      <c r="C25" s="6"/>
      <c r="D25" s="9" t="s">
        <v>1279</v>
      </c>
      <c r="E25" s="52">
        <f t="shared" si="3"/>
        <v>7000000</v>
      </c>
      <c r="F25" s="53">
        <v>0</v>
      </c>
      <c r="G25" s="53">
        <v>0</v>
      </c>
      <c r="H25" s="53">
        <f>5000000-1000000</f>
        <v>4000000</v>
      </c>
      <c r="I25" s="53">
        <v>0</v>
      </c>
      <c r="J25" s="53">
        <f>5000000-2000000</f>
        <v>3000000</v>
      </c>
      <c r="K25" s="53">
        <v>0</v>
      </c>
      <c r="L25" s="53">
        <v>0</v>
      </c>
      <c r="M25" s="53">
        <v>0</v>
      </c>
      <c r="N25" s="52">
        <f t="shared" si="4"/>
        <v>3500000</v>
      </c>
      <c r="O25" s="53">
        <v>100215</v>
      </c>
      <c r="P25" s="53">
        <v>13980</v>
      </c>
      <c r="Q25" s="53">
        <v>1484105</v>
      </c>
      <c r="R25" s="53">
        <v>0</v>
      </c>
      <c r="S25" s="53">
        <v>1000000</v>
      </c>
      <c r="T25" s="53">
        <v>901700</v>
      </c>
      <c r="U25" s="53">
        <v>0</v>
      </c>
      <c r="V25" s="53">
        <v>0</v>
      </c>
      <c r="W25" s="294">
        <v>56159</v>
      </c>
    </row>
    <row r="26" spans="1:23" ht="32.25" customHeight="1">
      <c r="A26" s="6"/>
      <c r="B26" s="6" t="s">
        <v>971</v>
      </c>
      <c r="C26" s="6"/>
      <c r="D26" s="9" t="s">
        <v>1280</v>
      </c>
      <c r="E26" s="52">
        <f t="shared" si="3"/>
        <v>6000000</v>
      </c>
      <c r="F26" s="53">
        <v>0</v>
      </c>
      <c r="G26" s="53">
        <v>0</v>
      </c>
      <c r="H26" s="53">
        <v>0</v>
      </c>
      <c r="I26" s="53">
        <v>0</v>
      </c>
      <c r="J26" s="53">
        <v>6000000</v>
      </c>
      <c r="K26" s="53">
        <v>0</v>
      </c>
      <c r="L26" s="53">
        <v>0</v>
      </c>
      <c r="M26" s="53">
        <v>0</v>
      </c>
      <c r="N26" s="52">
        <f t="shared" si="4"/>
        <v>3000000</v>
      </c>
      <c r="O26" s="53">
        <v>0</v>
      </c>
      <c r="P26" s="53">
        <v>0</v>
      </c>
      <c r="Q26" s="53">
        <v>0</v>
      </c>
      <c r="R26" s="53">
        <v>0</v>
      </c>
      <c r="S26" s="53">
        <v>3000000</v>
      </c>
      <c r="T26" s="53">
        <v>0</v>
      </c>
      <c r="U26" s="53">
        <v>0</v>
      </c>
      <c r="V26" s="53">
        <v>0</v>
      </c>
      <c r="W26" s="294" t="s">
        <v>1458</v>
      </c>
    </row>
    <row r="27" spans="1:23" ht="32.25" customHeight="1">
      <c r="A27" s="6"/>
      <c r="B27" s="6" t="s">
        <v>995</v>
      </c>
      <c r="C27" s="6"/>
      <c r="D27" s="9" t="s">
        <v>1281</v>
      </c>
      <c r="E27" s="52">
        <f t="shared" si="3"/>
        <v>12000000</v>
      </c>
      <c r="F27" s="53">
        <v>0</v>
      </c>
      <c r="G27" s="53">
        <v>0</v>
      </c>
      <c r="H27" s="53">
        <v>0</v>
      </c>
      <c r="I27" s="53">
        <v>0</v>
      </c>
      <c r="J27" s="53">
        <v>12000000</v>
      </c>
      <c r="K27" s="53">
        <v>0</v>
      </c>
      <c r="L27" s="53">
        <v>0</v>
      </c>
      <c r="M27" s="53">
        <v>0</v>
      </c>
      <c r="N27" s="52">
        <f t="shared" si="4"/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294" t="s">
        <v>1459</v>
      </c>
    </row>
    <row r="28" spans="1:23" ht="32.25" customHeight="1">
      <c r="A28" s="6"/>
      <c r="B28" s="6" t="s">
        <v>996</v>
      </c>
      <c r="C28" s="6"/>
      <c r="D28" s="9" t="s">
        <v>1377</v>
      </c>
      <c r="E28" s="52">
        <f t="shared" si="3"/>
        <v>2000000</v>
      </c>
      <c r="F28" s="53">
        <v>0</v>
      </c>
      <c r="G28" s="53">
        <v>0</v>
      </c>
      <c r="H28" s="53">
        <v>0</v>
      </c>
      <c r="I28" s="53">
        <v>0</v>
      </c>
      <c r="J28" s="53">
        <v>2000000</v>
      </c>
      <c r="K28" s="53">
        <v>0</v>
      </c>
      <c r="L28" s="53">
        <v>0</v>
      </c>
      <c r="M28" s="53">
        <v>0</v>
      </c>
      <c r="N28" s="52">
        <f t="shared" si="4"/>
        <v>554092</v>
      </c>
      <c r="O28" s="53">
        <v>0</v>
      </c>
      <c r="P28" s="53">
        <v>0</v>
      </c>
      <c r="Q28" s="53">
        <v>0</v>
      </c>
      <c r="R28" s="53">
        <v>0</v>
      </c>
      <c r="S28" s="53">
        <v>554092</v>
      </c>
      <c r="T28" s="53">
        <v>0</v>
      </c>
      <c r="U28" s="53">
        <v>0</v>
      </c>
      <c r="V28" s="53">
        <v>0</v>
      </c>
      <c r="W28" s="294" t="s">
        <v>1460</v>
      </c>
    </row>
    <row r="29" spans="1:23" ht="32.25" customHeight="1">
      <c r="A29" s="6"/>
      <c r="B29" s="6" t="s">
        <v>997</v>
      </c>
      <c r="C29" s="6"/>
      <c r="D29" s="9" t="s">
        <v>1443</v>
      </c>
      <c r="E29" s="52">
        <f t="shared" si="3"/>
        <v>1000000</v>
      </c>
      <c r="F29" s="53">
        <v>0</v>
      </c>
      <c r="G29" s="53">
        <v>0</v>
      </c>
      <c r="H29" s="53">
        <v>0</v>
      </c>
      <c r="I29" s="53">
        <v>0</v>
      </c>
      <c r="J29" s="53">
        <v>1000000</v>
      </c>
      <c r="K29" s="53">
        <v>0</v>
      </c>
      <c r="L29" s="53">
        <v>0</v>
      </c>
      <c r="M29" s="53">
        <v>0</v>
      </c>
      <c r="N29" s="52">
        <f t="shared" si="4"/>
        <v>1000000</v>
      </c>
      <c r="O29" s="53">
        <v>0</v>
      </c>
      <c r="P29" s="53">
        <v>0</v>
      </c>
      <c r="Q29" s="53">
        <v>0</v>
      </c>
      <c r="R29" s="53">
        <v>0</v>
      </c>
      <c r="S29" s="53">
        <v>1000000</v>
      </c>
      <c r="T29" s="53">
        <v>0</v>
      </c>
      <c r="U29" s="53">
        <v>0</v>
      </c>
      <c r="V29" s="53">
        <v>0</v>
      </c>
      <c r="W29" s="294" t="s">
        <v>1461</v>
      </c>
    </row>
    <row r="30" spans="1:23" s="66" customFormat="1" ht="24.75" customHeight="1">
      <c r="A30" s="56"/>
      <c r="B30" s="6" t="s">
        <v>1282</v>
      </c>
      <c r="C30" s="56"/>
      <c r="D30" s="355" t="s">
        <v>509</v>
      </c>
      <c r="E30" s="356">
        <f>SUM(F30:M30)</f>
        <v>31550000</v>
      </c>
      <c r="F30" s="357">
        <f>SUM(F31:F41)</f>
        <v>0</v>
      </c>
      <c r="G30" s="357">
        <f aca="true" t="shared" si="5" ref="G30:M30">SUM(G31:G41)</f>
        <v>0</v>
      </c>
      <c r="H30" s="357">
        <f t="shared" si="5"/>
        <v>0</v>
      </c>
      <c r="I30" s="357">
        <f t="shared" si="5"/>
        <v>0</v>
      </c>
      <c r="J30" s="357">
        <f t="shared" si="5"/>
        <v>31550000</v>
      </c>
      <c r="K30" s="357">
        <f t="shared" si="5"/>
        <v>0</v>
      </c>
      <c r="L30" s="357">
        <f t="shared" si="5"/>
        <v>0</v>
      </c>
      <c r="M30" s="357">
        <f t="shared" si="5"/>
        <v>0</v>
      </c>
      <c r="N30" s="356">
        <f t="shared" si="4"/>
        <v>24550000</v>
      </c>
      <c r="O30" s="357">
        <f>SUM(O31:O41)</f>
        <v>0</v>
      </c>
      <c r="P30" s="357">
        <f aca="true" t="shared" si="6" ref="P30:V30">SUM(P31:P41)</f>
        <v>0</v>
      </c>
      <c r="Q30" s="357">
        <f t="shared" si="6"/>
        <v>0</v>
      </c>
      <c r="R30" s="357">
        <f t="shared" si="6"/>
        <v>0</v>
      </c>
      <c r="S30" s="357">
        <f t="shared" si="6"/>
        <v>24550000</v>
      </c>
      <c r="T30" s="357">
        <f t="shared" si="6"/>
        <v>0</v>
      </c>
      <c r="U30" s="357">
        <f t="shared" si="6"/>
        <v>0</v>
      </c>
      <c r="V30" s="357">
        <f t="shared" si="6"/>
        <v>0</v>
      </c>
      <c r="W30" s="294"/>
    </row>
    <row r="31" spans="1:23" ht="26.25" customHeight="1">
      <c r="A31" s="6"/>
      <c r="B31" s="6"/>
      <c r="C31" s="6" t="s">
        <v>1444</v>
      </c>
      <c r="D31" s="9" t="s">
        <v>510</v>
      </c>
      <c r="E31" s="52">
        <f t="shared" si="3"/>
        <v>10000000</v>
      </c>
      <c r="F31" s="53">
        <v>0</v>
      </c>
      <c r="G31" s="53">
        <v>0</v>
      </c>
      <c r="H31" s="53">
        <v>0</v>
      </c>
      <c r="I31" s="53">
        <v>0</v>
      </c>
      <c r="J31" s="53">
        <v>10000000</v>
      </c>
      <c r="K31" s="53">
        <v>0</v>
      </c>
      <c r="L31" s="53">
        <v>0</v>
      </c>
      <c r="M31" s="53">
        <v>0</v>
      </c>
      <c r="N31" s="52">
        <f t="shared" si="4"/>
        <v>5000000</v>
      </c>
      <c r="O31" s="53">
        <v>0</v>
      </c>
      <c r="P31" s="53">
        <v>0</v>
      </c>
      <c r="Q31" s="53">
        <v>0</v>
      </c>
      <c r="R31" s="53">
        <v>0</v>
      </c>
      <c r="S31" s="53">
        <v>5000000</v>
      </c>
      <c r="T31" s="53">
        <v>0</v>
      </c>
      <c r="U31" s="53">
        <v>0</v>
      </c>
      <c r="V31" s="53">
        <v>0</v>
      </c>
      <c r="W31" s="294" t="s">
        <v>1158</v>
      </c>
    </row>
    <row r="32" spans="1:23" ht="23.25" customHeight="1">
      <c r="A32" s="6"/>
      <c r="B32" s="6"/>
      <c r="C32" s="6" t="s">
        <v>1445</v>
      </c>
      <c r="D32" s="9" t="s">
        <v>511</v>
      </c>
      <c r="E32" s="52">
        <f t="shared" si="3"/>
        <v>3350000</v>
      </c>
      <c r="F32" s="53">
        <v>0</v>
      </c>
      <c r="G32" s="53">
        <v>0</v>
      </c>
      <c r="H32" s="53">
        <v>0</v>
      </c>
      <c r="I32" s="53">
        <v>0</v>
      </c>
      <c r="J32" s="53">
        <v>3350000</v>
      </c>
      <c r="K32" s="53">
        <v>0</v>
      </c>
      <c r="L32" s="53">
        <v>0</v>
      </c>
      <c r="M32" s="53">
        <v>0</v>
      </c>
      <c r="N32" s="52">
        <f t="shared" si="4"/>
        <v>6350000</v>
      </c>
      <c r="O32" s="53">
        <v>0</v>
      </c>
      <c r="P32" s="53">
        <v>0</v>
      </c>
      <c r="Q32" s="53">
        <v>0</v>
      </c>
      <c r="R32" s="53">
        <v>0</v>
      </c>
      <c r="S32" s="53">
        <v>6350000</v>
      </c>
      <c r="T32" s="53">
        <v>0</v>
      </c>
      <c r="U32" s="53">
        <v>0</v>
      </c>
      <c r="V32" s="53">
        <v>0</v>
      </c>
      <c r="W32" s="294" t="s">
        <v>1159</v>
      </c>
    </row>
    <row r="33" spans="1:23" ht="24.75" customHeight="1">
      <c r="A33" s="6"/>
      <c r="B33" s="6"/>
      <c r="C33" s="6" t="s">
        <v>1446</v>
      </c>
      <c r="D33" s="9" t="s">
        <v>512</v>
      </c>
      <c r="E33" s="52">
        <f t="shared" si="3"/>
        <v>4000000</v>
      </c>
      <c r="F33" s="53">
        <v>0</v>
      </c>
      <c r="G33" s="53">
        <v>0</v>
      </c>
      <c r="H33" s="53">
        <v>0</v>
      </c>
      <c r="I33" s="53">
        <v>0</v>
      </c>
      <c r="J33" s="53">
        <v>4000000</v>
      </c>
      <c r="K33" s="53">
        <v>0</v>
      </c>
      <c r="L33" s="53">
        <v>0</v>
      </c>
      <c r="M33" s="53">
        <v>0</v>
      </c>
      <c r="N33" s="52">
        <f t="shared" si="4"/>
        <v>2000000</v>
      </c>
      <c r="O33" s="53">
        <v>0</v>
      </c>
      <c r="P33" s="53">
        <v>0</v>
      </c>
      <c r="Q33" s="53">
        <v>0</v>
      </c>
      <c r="R33" s="53">
        <v>0</v>
      </c>
      <c r="S33" s="53">
        <v>2000000</v>
      </c>
      <c r="T33" s="53">
        <v>0</v>
      </c>
      <c r="U33" s="53">
        <v>0</v>
      </c>
      <c r="V33" s="53">
        <v>0</v>
      </c>
      <c r="W33" s="294" t="s">
        <v>1160</v>
      </c>
    </row>
    <row r="34" spans="1:23" ht="30" customHeight="1">
      <c r="A34" s="6"/>
      <c r="B34" s="6"/>
      <c r="C34" s="6" t="s">
        <v>1447</v>
      </c>
      <c r="D34" s="9" t="s">
        <v>513</v>
      </c>
      <c r="E34" s="52">
        <f t="shared" si="3"/>
        <v>2000000</v>
      </c>
      <c r="F34" s="53">
        <v>0</v>
      </c>
      <c r="G34" s="53">
        <v>0</v>
      </c>
      <c r="H34" s="53">
        <v>0</v>
      </c>
      <c r="I34" s="53">
        <v>0</v>
      </c>
      <c r="J34" s="53">
        <v>2000000</v>
      </c>
      <c r="K34" s="53">
        <v>0</v>
      </c>
      <c r="L34" s="53">
        <v>0</v>
      </c>
      <c r="M34" s="53">
        <v>0</v>
      </c>
      <c r="N34" s="52">
        <f t="shared" si="4"/>
        <v>2000000</v>
      </c>
      <c r="O34" s="53">
        <v>0</v>
      </c>
      <c r="P34" s="53">
        <v>0</v>
      </c>
      <c r="Q34" s="53">
        <v>0</v>
      </c>
      <c r="R34" s="53">
        <v>0</v>
      </c>
      <c r="S34" s="53">
        <v>2000000</v>
      </c>
      <c r="T34" s="53">
        <v>0</v>
      </c>
      <c r="U34" s="53">
        <v>0</v>
      </c>
      <c r="V34" s="53">
        <v>0</v>
      </c>
      <c r="W34" s="294" t="s">
        <v>1161</v>
      </c>
    </row>
    <row r="35" spans="1:23" ht="30.75" customHeight="1">
      <c r="A35" s="6"/>
      <c r="B35" s="6"/>
      <c r="C35" s="6" t="s">
        <v>1448</v>
      </c>
      <c r="D35" s="9" t="s">
        <v>965</v>
      </c>
      <c r="E35" s="52">
        <f t="shared" si="3"/>
        <v>4000000</v>
      </c>
      <c r="F35" s="53">
        <v>0</v>
      </c>
      <c r="G35" s="53">
        <v>0</v>
      </c>
      <c r="H35" s="53">
        <v>0</v>
      </c>
      <c r="I35" s="53">
        <v>0</v>
      </c>
      <c r="J35" s="53">
        <v>4000000</v>
      </c>
      <c r="K35" s="53">
        <v>0</v>
      </c>
      <c r="L35" s="53">
        <v>0</v>
      </c>
      <c r="M35" s="53">
        <v>0</v>
      </c>
      <c r="N35" s="52">
        <f t="shared" si="4"/>
        <v>2000000</v>
      </c>
      <c r="O35" s="53">
        <v>0</v>
      </c>
      <c r="P35" s="53">
        <v>0</v>
      </c>
      <c r="Q35" s="53">
        <v>0</v>
      </c>
      <c r="R35" s="53">
        <v>0</v>
      </c>
      <c r="S35" s="53">
        <v>2000000</v>
      </c>
      <c r="T35" s="53">
        <v>0</v>
      </c>
      <c r="U35" s="53">
        <v>0</v>
      </c>
      <c r="V35" s="53">
        <v>0</v>
      </c>
      <c r="W35" s="294" t="s">
        <v>1162</v>
      </c>
    </row>
    <row r="36" spans="1:23" ht="33.75" customHeight="1">
      <c r="A36" s="6"/>
      <c r="B36" s="6"/>
      <c r="C36" s="6" t="s">
        <v>1449</v>
      </c>
      <c r="D36" s="9" t="s">
        <v>814</v>
      </c>
      <c r="E36" s="52">
        <f t="shared" si="3"/>
        <v>500000</v>
      </c>
      <c r="F36" s="53">
        <v>0</v>
      </c>
      <c r="G36" s="53">
        <v>0</v>
      </c>
      <c r="H36" s="53">
        <v>0</v>
      </c>
      <c r="I36" s="53">
        <v>0</v>
      </c>
      <c r="J36" s="53">
        <v>500000</v>
      </c>
      <c r="K36" s="53">
        <v>0</v>
      </c>
      <c r="L36" s="53">
        <v>0</v>
      </c>
      <c r="M36" s="53">
        <v>0</v>
      </c>
      <c r="N36" s="52">
        <f t="shared" si="4"/>
        <v>500000</v>
      </c>
      <c r="O36" s="53">
        <v>0</v>
      </c>
      <c r="P36" s="53">
        <v>0</v>
      </c>
      <c r="Q36" s="53">
        <v>0</v>
      </c>
      <c r="R36" s="53">
        <v>0</v>
      </c>
      <c r="S36" s="53">
        <v>500000</v>
      </c>
      <c r="T36" s="53">
        <v>0</v>
      </c>
      <c r="U36" s="53">
        <v>0</v>
      </c>
      <c r="V36" s="53">
        <v>0</v>
      </c>
      <c r="W36" s="294" t="s">
        <v>1163</v>
      </c>
    </row>
    <row r="37" spans="1:23" ht="33.75" customHeight="1">
      <c r="A37" s="6"/>
      <c r="B37" s="6"/>
      <c r="C37" s="6" t="s">
        <v>1450</v>
      </c>
      <c r="D37" s="9" t="s">
        <v>1533</v>
      </c>
      <c r="E37" s="52">
        <f t="shared" si="3"/>
        <v>1000000</v>
      </c>
      <c r="F37" s="53">
        <v>0</v>
      </c>
      <c r="G37" s="53">
        <v>0</v>
      </c>
      <c r="H37" s="53">
        <v>0</v>
      </c>
      <c r="I37" s="53">
        <v>0</v>
      </c>
      <c r="J37" s="53">
        <v>1000000</v>
      </c>
      <c r="K37" s="53">
        <v>0</v>
      </c>
      <c r="L37" s="53">
        <v>0</v>
      </c>
      <c r="M37" s="53">
        <v>0</v>
      </c>
      <c r="N37" s="52">
        <f t="shared" si="4"/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294" t="s">
        <v>1164</v>
      </c>
    </row>
    <row r="38" spans="1:23" ht="33.75" customHeight="1">
      <c r="A38" s="6"/>
      <c r="B38" s="6"/>
      <c r="C38" s="6" t="s">
        <v>1451</v>
      </c>
      <c r="D38" s="9" t="s">
        <v>944</v>
      </c>
      <c r="E38" s="52">
        <f t="shared" si="3"/>
        <v>1000000</v>
      </c>
      <c r="F38" s="53">
        <v>0</v>
      </c>
      <c r="G38" s="53">
        <v>0</v>
      </c>
      <c r="H38" s="53">
        <v>0</v>
      </c>
      <c r="I38" s="53">
        <v>0</v>
      </c>
      <c r="J38" s="53">
        <f>500000+500000</f>
        <v>1000000</v>
      </c>
      <c r="K38" s="53">
        <v>0</v>
      </c>
      <c r="L38" s="53">
        <v>0</v>
      </c>
      <c r="M38" s="53">
        <v>0</v>
      </c>
      <c r="N38" s="52">
        <f t="shared" si="4"/>
        <v>1000000</v>
      </c>
      <c r="O38" s="53">
        <v>0</v>
      </c>
      <c r="P38" s="53">
        <v>0</v>
      </c>
      <c r="Q38" s="53">
        <v>0</v>
      </c>
      <c r="R38" s="53">
        <v>0</v>
      </c>
      <c r="S38" s="53">
        <v>1000000</v>
      </c>
      <c r="T38" s="53">
        <v>0</v>
      </c>
      <c r="U38" s="53">
        <v>0</v>
      </c>
      <c r="V38" s="53">
        <v>0</v>
      </c>
      <c r="W38" s="294" t="s">
        <v>1165</v>
      </c>
    </row>
    <row r="39" spans="1:23" ht="33.75" customHeight="1">
      <c r="A39" s="6"/>
      <c r="B39" s="6"/>
      <c r="C39" s="6" t="s">
        <v>1452</v>
      </c>
      <c r="D39" s="9" t="s">
        <v>1456</v>
      </c>
      <c r="E39" s="52">
        <f t="shared" si="3"/>
        <v>5000000</v>
      </c>
      <c r="F39" s="53">
        <v>0</v>
      </c>
      <c r="G39" s="53">
        <v>0</v>
      </c>
      <c r="H39" s="53">
        <v>0</v>
      </c>
      <c r="I39" s="53">
        <v>0</v>
      </c>
      <c r="J39" s="53">
        <v>5000000</v>
      </c>
      <c r="K39" s="53">
        <v>0</v>
      </c>
      <c r="L39" s="53">
        <v>0</v>
      </c>
      <c r="M39" s="53">
        <v>0</v>
      </c>
      <c r="N39" s="52">
        <f t="shared" si="4"/>
        <v>5000000</v>
      </c>
      <c r="O39" s="53">
        <v>0</v>
      </c>
      <c r="P39" s="53">
        <v>0</v>
      </c>
      <c r="Q39" s="53">
        <v>0</v>
      </c>
      <c r="R39" s="53">
        <v>0</v>
      </c>
      <c r="S39" s="53">
        <v>5000000</v>
      </c>
      <c r="T39" s="53">
        <v>0</v>
      </c>
      <c r="U39" s="53">
        <v>0</v>
      </c>
      <c r="V39" s="53">
        <v>0</v>
      </c>
      <c r="W39" s="294" t="s">
        <v>1462</v>
      </c>
    </row>
    <row r="40" spans="1:23" ht="33.75" customHeight="1">
      <c r="A40" s="6"/>
      <c r="B40" s="6"/>
      <c r="C40" s="6" t="s">
        <v>1453</v>
      </c>
      <c r="D40" s="9" t="s">
        <v>1457</v>
      </c>
      <c r="E40" s="52">
        <f t="shared" si="3"/>
        <v>700000</v>
      </c>
      <c r="F40" s="53">
        <v>0</v>
      </c>
      <c r="G40" s="53">
        <v>0</v>
      </c>
      <c r="H40" s="53">
        <v>0</v>
      </c>
      <c r="I40" s="53">
        <v>0</v>
      </c>
      <c r="J40" s="53">
        <v>700000</v>
      </c>
      <c r="K40" s="53">
        <v>0</v>
      </c>
      <c r="L40" s="53">
        <v>0</v>
      </c>
      <c r="M40" s="53">
        <v>0</v>
      </c>
      <c r="N40" s="52">
        <f t="shared" si="4"/>
        <v>700000</v>
      </c>
      <c r="O40" s="53">
        <v>0</v>
      </c>
      <c r="P40" s="53">
        <v>0</v>
      </c>
      <c r="Q40" s="53">
        <v>0</v>
      </c>
      <c r="R40" s="53">
        <v>0</v>
      </c>
      <c r="S40" s="53">
        <v>700000</v>
      </c>
      <c r="T40" s="53">
        <v>0</v>
      </c>
      <c r="U40" s="53">
        <v>0</v>
      </c>
      <c r="V40" s="53">
        <v>0</v>
      </c>
      <c r="W40" s="294">
        <v>56174</v>
      </c>
    </row>
    <row r="41" spans="1:23" ht="33.75" customHeight="1">
      <c r="A41" s="6"/>
      <c r="B41" s="6"/>
      <c r="C41" s="6" t="s">
        <v>1475</v>
      </c>
      <c r="D41" s="9" t="s">
        <v>1476</v>
      </c>
      <c r="E41" s="52">
        <f t="shared" si="3"/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2">
        <f t="shared" si="4"/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294" t="s">
        <v>1489</v>
      </c>
    </row>
    <row r="42" spans="1:23" ht="33.75" customHeight="1">
      <c r="A42" s="6"/>
      <c r="B42" s="6" t="s">
        <v>1288</v>
      </c>
      <c r="C42" s="6"/>
      <c r="D42" s="9" t="s">
        <v>1438</v>
      </c>
      <c r="E42" s="52">
        <f t="shared" si="3"/>
        <v>32500000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115">
        <v>32500000</v>
      </c>
      <c r="N42" s="52">
        <f t="shared" si="4"/>
        <v>32500000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32500000</v>
      </c>
      <c r="W42" s="294">
        <v>56153</v>
      </c>
    </row>
    <row r="43" spans="1:23" ht="33.75" customHeight="1">
      <c r="A43" s="6"/>
      <c r="B43" s="6" t="s">
        <v>1289</v>
      </c>
      <c r="C43" s="6"/>
      <c r="D43" s="9" t="s">
        <v>1283</v>
      </c>
      <c r="E43" s="52">
        <f t="shared" si="3"/>
        <v>15000000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115">
        <v>15000000</v>
      </c>
      <c r="N43" s="52">
        <f t="shared" si="4"/>
        <v>7500000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7500000</v>
      </c>
      <c r="W43" s="294">
        <v>56136</v>
      </c>
    </row>
    <row r="44" spans="1:23" ht="33.75" customHeight="1">
      <c r="A44" s="6"/>
      <c r="B44" s="6" t="s">
        <v>1290</v>
      </c>
      <c r="C44" s="6"/>
      <c r="D44" s="9" t="s">
        <v>1284</v>
      </c>
      <c r="E44" s="52">
        <f t="shared" si="3"/>
        <v>800000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115">
        <v>800000</v>
      </c>
      <c r="N44" s="52">
        <f t="shared" si="4"/>
        <v>800000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800000</v>
      </c>
      <c r="W44" s="294">
        <v>56137</v>
      </c>
    </row>
    <row r="45" spans="1:23" ht="33.75" customHeight="1">
      <c r="A45" s="6"/>
      <c r="B45" s="6" t="s">
        <v>1291</v>
      </c>
      <c r="C45" s="6"/>
      <c r="D45" s="9" t="s">
        <v>1285</v>
      </c>
      <c r="E45" s="52">
        <f t="shared" si="3"/>
        <v>6000000</v>
      </c>
      <c r="F45" s="53">
        <v>0</v>
      </c>
      <c r="G45" s="53">
        <v>0</v>
      </c>
      <c r="H45" s="53">
        <v>0</v>
      </c>
      <c r="I45" s="53">
        <v>0</v>
      </c>
      <c r="J45" s="53">
        <v>6000000</v>
      </c>
      <c r="K45" s="53">
        <v>0</v>
      </c>
      <c r="L45" s="53">
        <v>0</v>
      </c>
      <c r="M45" s="53">
        <v>0</v>
      </c>
      <c r="N45" s="52">
        <f t="shared" si="4"/>
        <v>6000000</v>
      </c>
      <c r="O45" s="53">
        <v>0</v>
      </c>
      <c r="P45" s="53">
        <v>0</v>
      </c>
      <c r="Q45" s="53">
        <v>0</v>
      </c>
      <c r="R45" s="53">
        <v>0</v>
      </c>
      <c r="S45" s="53">
        <v>6000000</v>
      </c>
      <c r="T45" s="53">
        <v>0</v>
      </c>
      <c r="U45" s="53">
        <v>0</v>
      </c>
      <c r="V45" s="53">
        <v>0</v>
      </c>
      <c r="W45" s="294">
        <v>56150</v>
      </c>
    </row>
    <row r="46" spans="1:23" ht="33.75" customHeight="1">
      <c r="A46" s="6"/>
      <c r="B46" s="6" t="s">
        <v>1292</v>
      </c>
      <c r="C46" s="6"/>
      <c r="D46" s="9" t="s">
        <v>1286</v>
      </c>
      <c r="E46" s="52">
        <f t="shared" si="3"/>
        <v>8000000</v>
      </c>
      <c r="F46" s="53">
        <v>0</v>
      </c>
      <c r="G46" s="53">
        <v>0</v>
      </c>
      <c r="H46" s="53">
        <v>0</v>
      </c>
      <c r="I46" s="53">
        <v>0</v>
      </c>
      <c r="J46" s="53">
        <v>4500000</v>
      </c>
      <c r="K46" s="53">
        <v>0</v>
      </c>
      <c r="L46" s="53">
        <v>0</v>
      </c>
      <c r="M46" s="115">
        <v>3500000</v>
      </c>
      <c r="N46" s="52">
        <f t="shared" si="4"/>
        <v>13000000</v>
      </c>
      <c r="O46" s="53">
        <v>0</v>
      </c>
      <c r="P46" s="53">
        <v>0</v>
      </c>
      <c r="Q46" s="53">
        <v>0</v>
      </c>
      <c r="R46" s="53">
        <v>0</v>
      </c>
      <c r="S46" s="53">
        <v>9500000</v>
      </c>
      <c r="T46" s="53">
        <v>0</v>
      </c>
      <c r="U46" s="53">
        <v>0</v>
      </c>
      <c r="V46" s="53">
        <v>3500000</v>
      </c>
      <c r="W46" s="294">
        <v>56138</v>
      </c>
    </row>
    <row r="47" spans="1:23" ht="33.75" customHeight="1">
      <c r="A47" s="6"/>
      <c r="B47" s="6" t="s">
        <v>1454</v>
      </c>
      <c r="C47" s="6"/>
      <c r="D47" s="9" t="s">
        <v>1287</v>
      </c>
      <c r="E47" s="52">
        <f t="shared" si="3"/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2">
        <f t="shared" si="4"/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294">
        <v>56139</v>
      </c>
    </row>
    <row r="48" spans="1:23" ht="18">
      <c r="A48" s="6" t="s">
        <v>112</v>
      </c>
      <c r="B48" s="6"/>
      <c r="C48" s="6"/>
      <c r="D48" s="41" t="s">
        <v>41</v>
      </c>
      <c r="E48" s="10">
        <f t="shared" si="3"/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64">
        <v>0</v>
      </c>
      <c r="N48" s="10">
        <f t="shared" si="4"/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64">
        <v>0</v>
      </c>
      <c r="W48" s="209"/>
    </row>
    <row r="49" spans="1:23" ht="18">
      <c r="A49" s="6" t="s">
        <v>113</v>
      </c>
      <c r="B49" s="6"/>
      <c r="C49" s="6"/>
      <c r="D49" s="41" t="s">
        <v>43</v>
      </c>
      <c r="E49" s="10">
        <f t="shared" si="3"/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61">
        <v>0</v>
      </c>
      <c r="N49" s="10">
        <f t="shared" si="4"/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61">
        <v>0</v>
      </c>
      <c r="W49" s="209"/>
    </row>
    <row r="50" spans="1:23" ht="33.75" customHeight="1">
      <c r="A50" s="513" t="s">
        <v>286</v>
      </c>
      <c r="B50" s="514"/>
      <c r="C50" s="514"/>
      <c r="D50" s="515"/>
      <c r="E50" s="10">
        <f>SUM(F50:M50)</f>
        <v>236080869</v>
      </c>
      <c r="F50" s="58">
        <f aca="true" t="shared" si="7" ref="F50:M50">F10+F48+F49</f>
        <v>3620959</v>
      </c>
      <c r="G50" s="58">
        <f t="shared" si="7"/>
        <v>4491759</v>
      </c>
      <c r="H50" s="58">
        <f t="shared" si="7"/>
        <v>45610627</v>
      </c>
      <c r="I50" s="58">
        <f t="shared" si="7"/>
        <v>0</v>
      </c>
      <c r="J50" s="58">
        <f t="shared" si="7"/>
        <v>89942924</v>
      </c>
      <c r="K50" s="58">
        <f t="shared" si="7"/>
        <v>40614600</v>
      </c>
      <c r="L50" s="58">
        <f t="shared" si="7"/>
        <v>0</v>
      </c>
      <c r="M50" s="64">
        <f t="shared" si="7"/>
        <v>51800000</v>
      </c>
      <c r="N50" s="10">
        <f t="shared" si="4"/>
        <v>178398461</v>
      </c>
      <c r="O50" s="58">
        <f aca="true" t="shared" si="8" ref="O50:V50">O10+O48+O49</f>
        <v>906040</v>
      </c>
      <c r="P50" s="58">
        <f t="shared" si="8"/>
        <v>3826666</v>
      </c>
      <c r="Q50" s="58">
        <f t="shared" si="8"/>
        <v>33673744</v>
      </c>
      <c r="R50" s="58">
        <f t="shared" si="8"/>
        <v>0</v>
      </c>
      <c r="S50" s="58">
        <f t="shared" si="8"/>
        <v>54139516</v>
      </c>
      <c r="T50" s="58">
        <f t="shared" si="8"/>
        <v>41552495</v>
      </c>
      <c r="U50" s="58">
        <f t="shared" si="8"/>
        <v>0</v>
      </c>
      <c r="V50" s="64">
        <f t="shared" si="8"/>
        <v>44300000</v>
      </c>
      <c r="W50" s="209"/>
    </row>
    <row r="57" spans="5:14" ht="12.75">
      <c r="E57" s="208"/>
      <c r="N57" s="208"/>
    </row>
  </sheetData>
  <sheetProtection selectLockedCells="1" selectUnlockedCells="1"/>
  <mergeCells count="18">
    <mergeCell ref="A50:D50"/>
    <mergeCell ref="B7:B9"/>
    <mergeCell ref="D7:D9"/>
    <mergeCell ref="F7:M7"/>
    <mergeCell ref="F8:J8"/>
    <mergeCell ref="W7:W10"/>
    <mergeCell ref="T8:V8"/>
    <mergeCell ref="O8:S8"/>
    <mergeCell ref="C7:C9"/>
    <mergeCell ref="O7:V7"/>
    <mergeCell ref="E7:E9"/>
    <mergeCell ref="N7:N9"/>
    <mergeCell ref="A1:W1"/>
    <mergeCell ref="A3:W3"/>
    <mergeCell ref="A4:W4"/>
    <mergeCell ref="A7:A9"/>
    <mergeCell ref="K8:M8"/>
    <mergeCell ref="A2:W2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600" verticalDpi="600" orientation="landscape" paperSize="9" scale="3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6"/>
  <sheetViews>
    <sheetView view="pageBreakPreview" zoomScale="70" zoomScaleNormal="80" zoomScaleSheetLayoutView="7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:W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3.28125" style="0" customWidth="1"/>
    <col min="4" max="4" width="74.28125" style="0" customWidth="1"/>
    <col min="5" max="5" width="19.421875" style="0" customWidth="1"/>
    <col min="6" max="6" width="14.57421875" style="0" customWidth="1"/>
    <col min="7" max="7" width="16.140625" style="0" customWidth="1"/>
    <col min="8" max="9" width="14.57421875" style="0" customWidth="1"/>
    <col min="10" max="10" width="21.140625" style="0" customWidth="1"/>
    <col min="11" max="12" width="14.57421875" style="0" customWidth="1"/>
    <col min="13" max="13" width="18.7109375" style="0" customWidth="1"/>
    <col min="14" max="14" width="19.421875" style="0" customWidth="1"/>
    <col min="15" max="15" width="14.57421875" style="0" customWidth="1"/>
    <col min="16" max="16" width="16.140625" style="0" customWidth="1"/>
    <col min="17" max="18" width="14.57421875" style="0" customWidth="1"/>
    <col min="19" max="19" width="21.140625" style="0" customWidth="1"/>
    <col min="20" max="21" width="14.57421875" style="0" customWidth="1"/>
    <col min="22" max="22" width="18.7109375" style="0" customWidth="1"/>
    <col min="23" max="23" width="16.140625" style="0" customWidth="1"/>
  </cols>
  <sheetData>
    <row r="1" spans="1:23" ht="18">
      <c r="A1" s="516" t="s">
        <v>1549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</row>
    <row r="2" spans="1:23" ht="18">
      <c r="A2" s="500" t="s">
        <v>1522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</row>
    <row r="3" spans="1:23" ht="18" customHeight="1">
      <c r="A3" s="423" t="s">
        <v>514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</row>
    <row r="4" spans="1:23" ht="18">
      <c r="A4" s="497" t="s">
        <v>515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</row>
    <row r="5" spans="1:23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8"/>
      <c r="N5" s="1"/>
      <c r="O5" s="1"/>
      <c r="P5" s="1"/>
      <c r="Q5" s="1"/>
      <c r="R5" s="1"/>
      <c r="S5" s="1"/>
      <c r="T5" s="1"/>
      <c r="U5" s="18"/>
      <c r="W5" s="111" t="s">
        <v>0</v>
      </c>
    </row>
    <row r="6" spans="1:23" ht="15" customHeight="1">
      <c r="A6" s="144" t="s">
        <v>1</v>
      </c>
      <c r="B6" s="144" t="s">
        <v>2</v>
      </c>
      <c r="C6" s="144" t="s">
        <v>3</v>
      </c>
      <c r="D6" s="144" t="s">
        <v>4</v>
      </c>
      <c r="E6" s="144" t="s">
        <v>5</v>
      </c>
      <c r="F6" s="144" t="s">
        <v>6</v>
      </c>
      <c r="G6" s="144" t="s">
        <v>7</v>
      </c>
      <c r="H6" s="144" t="s">
        <v>8</v>
      </c>
      <c r="I6" s="144" t="s">
        <v>9</v>
      </c>
      <c r="J6" s="145" t="s">
        <v>10</v>
      </c>
      <c r="K6" s="144" t="s">
        <v>11</v>
      </c>
      <c r="L6" s="146" t="s">
        <v>12</v>
      </c>
      <c r="M6" s="147" t="s">
        <v>13</v>
      </c>
      <c r="N6" s="144" t="s">
        <v>14</v>
      </c>
      <c r="O6" s="144" t="s">
        <v>15</v>
      </c>
      <c r="P6" s="144" t="s">
        <v>16</v>
      </c>
      <c r="Q6" s="144" t="s">
        <v>17</v>
      </c>
      <c r="R6" s="144" t="s">
        <v>18</v>
      </c>
      <c r="S6" s="145" t="s">
        <v>19</v>
      </c>
      <c r="T6" s="144" t="s">
        <v>20</v>
      </c>
      <c r="U6" s="146" t="s">
        <v>21</v>
      </c>
      <c r="V6" s="147" t="s">
        <v>179</v>
      </c>
      <c r="W6" s="154" t="s">
        <v>180</v>
      </c>
    </row>
    <row r="7" spans="1:23" ht="12.75" customHeight="1">
      <c r="A7" s="413" t="s">
        <v>23</v>
      </c>
      <c r="B7" s="413" t="s">
        <v>183</v>
      </c>
      <c r="C7" s="413" t="s">
        <v>320</v>
      </c>
      <c r="D7" s="406" t="s">
        <v>24</v>
      </c>
      <c r="E7" s="406" t="s">
        <v>1262</v>
      </c>
      <c r="F7" s="455" t="s">
        <v>25</v>
      </c>
      <c r="G7" s="455"/>
      <c r="H7" s="455"/>
      <c r="I7" s="455"/>
      <c r="J7" s="455"/>
      <c r="K7" s="455"/>
      <c r="L7" s="455"/>
      <c r="M7" s="519"/>
      <c r="N7" s="455" t="s">
        <v>1467</v>
      </c>
      <c r="O7" s="455" t="s">
        <v>1466</v>
      </c>
      <c r="P7" s="455"/>
      <c r="Q7" s="455"/>
      <c r="R7" s="455"/>
      <c r="S7" s="455"/>
      <c r="T7" s="455"/>
      <c r="U7" s="455"/>
      <c r="V7" s="455"/>
      <c r="W7" s="462" t="s">
        <v>1012</v>
      </c>
    </row>
    <row r="8" spans="1:23" ht="12.75" customHeight="1">
      <c r="A8" s="413"/>
      <c r="B8" s="413"/>
      <c r="C8" s="413"/>
      <c r="D8" s="406"/>
      <c r="E8" s="406"/>
      <c r="F8" s="502" t="s">
        <v>26</v>
      </c>
      <c r="G8" s="517"/>
      <c r="H8" s="517"/>
      <c r="I8" s="517"/>
      <c r="J8" s="518"/>
      <c r="K8" s="405" t="s">
        <v>27</v>
      </c>
      <c r="L8" s="405"/>
      <c r="M8" s="405"/>
      <c r="N8" s="455"/>
      <c r="O8" s="501" t="s">
        <v>26</v>
      </c>
      <c r="P8" s="501"/>
      <c r="Q8" s="501"/>
      <c r="R8" s="501"/>
      <c r="S8" s="501"/>
      <c r="T8" s="501" t="s">
        <v>27</v>
      </c>
      <c r="U8" s="501"/>
      <c r="V8" s="501"/>
      <c r="W8" s="462"/>
    </row>
    <row r="9" spans="1:23" ht="84" customHeight="1">
      <c r="A9" s="413"/>
      <c r="B9" s="413"/>
      <c r="C9" s="413"/>
      <c r="D9" s="406"/>
      <c r="E9" s="406"/>
      <c r="F9" s="5" t="s">
        <v>28</v>
      </c>
      <c r="G9" s="5" t="s">
        <v>29</v>
      </c>
      <c r="H9" s="5" t="s">
        <v>30</v>
      </c>
      <c r="I9" s="5" t="s">
        <v>31</v>
      </c>
      <c r="J9" s="5" t="s">
        <v>32</v>
      </c>
      <c r="K9" s="5" t="s">
        <v>33</v>
      </c>
      <c r="L9" s="5" t="s">
        <v>34</v>
      </c>
      <c r="M9" s="5" t="s">
        <v>35</v>
      </c>
      <c r="N9" s="455"/>
      <c r="O9" s="40" t="s">
        <v>28</v>
      </c>
      <c r="P9" s="40" t="s">
        <v>29</v>
      </c>
      <c r="Q9" s="40" t="s">
        <v>30</v>
      </c>
      <c r="R9" s="40" t="s">
        <v>31</v>
      </c>
      <c r="S9" s="40" t="s">
        <v>32</v>
      </c>
      <c r="T9" s="40" t="s">
        <v>33</v>
      </c>
      <c r="U9" s="40" t="s">
        <v>34</v>
      </c>
      <c r="V9" s="40" t="s">
        <v>35</v>
      </c>
      <c r="W9" s="462"/>
    </row>
    <row r="10" spans="1:23" ht="18">
      <c r="A10" s="6" t="s">
        <v>116</v>
      </c>
      <c r="B10" s="6"/>
      <c r="C10" s="6"/>
      <c r="D10" s="41" t="s">
        <v>39</v>
      </c>
      <c r="E10" s="10">
        <f>SUM(F10:M10)</f>
        <v>2884800000</v>
      </c>
      <c r="F10" s="58">
        <f aca="true" t="shared" si="0" ref="F10:V10">F11</f>
        <v>0</v>
      </c>
      <c r="G10" s="58">
        <f t="shared" si="0"/>
        <v>0</v>
      </c>
      <c r="H10" s="58">
        <f t="shared" si="0"/>
        <v>0</v>
      </c>
      <c r="I10" s="58">
        <f t="shared" si="0"/>
        <v>0</v>
      </c>
      <c r="J10" s="58">
        <f t="shared" si="0"/>
        <v>2709800000</v>
      </c>
      <c r="K10" s="58">
        <f t="shared" si="0"/>
        <v>0</v>
      </c>
      <c r="L10" s="58">
        <f t="shared" si="0"/>
        <v>0</v>
      </c>
      <c r="M10" s="58">
        <f t="shared" si="0"/>
        <v>175000000</v>
      </c>
      <c r="N10" s="10">
        <f>SUM(O10:V10)</f>
        <v>2919340000</v>
      </c>
      <c r="O10" s="58">
        <f t="shared" si="0"/>
        <v>0</v>
      </c>
      <c r="P10" s="58">
        <f t="shared" si="0"/>
        <v>0</v>
      </c>
      <c r="Q10" s="58">
        <f t="shared" si="0"/>
        <v>0</v>
      </c>
      <c r="R10" s="58">
        <f t="shared" si="0"/>
        <v>0</v>
      </c>
      <c r="S10" s="58">
        <f t="shared" si="0"/>
        <v>2729489671</v>
      </c>
      <c r="T10" s="58">
        <f t="shared" si="0"/>
        <v>0</v>
      </c>
      <c r="U10" s="58">
        <f t="shared" si="0"/>
        <v>0</v>
      </c>
      <c r="V10" s="58">
        <f t="shared" si="0"/>
        <v>189850329</v>
      </c>
      <c r="W10" s="462"/>
    </row>
    <row r="11" spans="1:23" ht="31.5">
      <c r="A11" s="6"/>
      <c r="B11" s="6" t="s">
        <v>516</v>
      </c>
      <c r="C11" s="6"/>
      <c r="D11" s="63" t="s">
        <v>517</v>
      </c>
      <c r="E11" s="10">
        <f>SUM(F11:M11)</f>
        <v>2884800000</v>
      </c>
      <c r="F11" s="68">
        <f aca="true" t="shared" si="1" ref="F11:M11">SUM(F12:F24)</f>
        <v>0</v>
      </c>
      <c r="G11" s="68">
        <f t="shared" si="1"/>
        <v>0</v>
      </c>
      <c r="H11" s="68">
        <f t="shared" si="1"/>
        <v>0</v>
      </c>
      <c r="I11" s="68">
        <f t="shared" si="1"/>
        <v>0</v>
      </c>
      <c r="J11" s="68">
        <f t="shared" si="1"/>
        <v>2709800000</v>
      </c>
      <c r="K11" s="68">
        <f t="shared" si="1"/>
        <v>0</v>
      </c>
      <c r="L11" s="68">
        <f t="shared" si="1"/>
        <v>0</v>
      </c>
      <c r="M11" s="138">
        <f t="shared" si="1"/>
        <v>175000000</v>
      </c>
      <c r="N11" s="10">
        <f>SUM(O11:V11)</f>
        <v>2919340000</v>
      </c>
      <c r="O11" s="68">
        <f aca="true" t="shared" si="2" ref="O11:V11">SUM(O12:O24)</f>
        <v>0</v>
      </c>
      <c r="P11" s="68">
        <f t="shared" si="2"/>
        <v>0</v>
      </c>
      <c r="Q11" s="68">
        <f t="shared" si="2"/>
        <v>0</v>
      </c>
      <c r="R11" s="68">
        <f t="shared" si="2"/>
        <v>0</v>
      </c>
      <c r="S11" s="68">
        <f t="shared" si="2"/>
        <v>2729489671</v>
      </c>
      <c r="T11" s="68">
        <f t="shared" si="2"/>
        <v>0</v>
      </c>
      <c r="U11" s="68">
        <f t="shared" si="2"/>
        <v>0</v>
      </c>
      <c r="V11" s="138">
        <f t="shared" si="2"/>
        <v>189850329</v>
      </c>
      <c r="W11" s="120"/>
    </row>
    <row r="12" spans="1:23" ht="18">
      <c r="A12" s="6"/>
      <c r="B12" s="6"/>
      <c r="C12" s="6" t="s">
        <v>518</v>
      </c>
      <c r="D12" s="9" t="s">
        <v>801</v>
      </c>
      <c r="E12" s="52">
        <f aca="true" t="shared" si="3" ref="E12:E41">SUM(F12:M12)</f>
        <v>149000000</v>
      </c>
      <c r="F12" s="53">
        <v>0</v>
      </c>
      <c r="G12" s="53">
        <v>0</v>
      </c>
      <c r="H12" s="53">
        <v>0</v>
      </c>
      <c r="I12" s="53">
        <v>0</v>
      </c>
      <c r="J12" s="53">
        <v>146500000</v>
      </c>
      <c r="K12" s="53">
        <v>0</v>
      </c>
      <c r="L12" s="53">
        <v>0</v>
      </c>
      <c r="M12" s="115">
        <v>2500000</v>
      </c>
      <c r="N12" s="52">
        <f aca="true" t="shared" si="4" ref="N12:N32">SUM(O12:V12)</f>
        <v>149000000</v>
      </c>
      <c r="O12" s="53">
        <v>0</v>
      </c>
      <c r="P12" s="53">
        <v>0</v>
      </c>
      <c r="Q12" s="53">
        <v>0</v>
      </c>
      <c r="R12" s="53">
        <v>0</v>
      </c>
      <c r="S12" s="53">
        <v>146500000</v>
      </c>
      <c r="T12" s="53">
        <v>0</v>
      </c>
      <c r="U12" s="53">
        <v>0</v>
      </c>
      <c r="V12" s="115">
        <v>2500000</v>
      </c>
      <c r="W12" s="159" t="s">
        <v>1166</v>
      </c>
    </row>
    <row r="13" spans="1:23" ht="18">
      <c r="A13" s="6"/>
      <c r="B13" s="6"/>
      <c r="C13" s="6" t="s">
        <v>758</v>
      </c>
      <c r="D13" s="9" t="s">
        <v>520</v>
      </c>
      <c r="E13" s="52">
        <f t="shared" si="3"/>
        <v>74300000</v>
      </c>
      <c r="F13" s="53">
        <v>0</v>
      </c>
      <c r="G13" s="53">
        <v>0</v>
      </c>
      <c r="H13" s="53">
        <v>0</v>
      </c>
      <c r="I13" s="53">
        <v>0</v>
      </c>
      <c r="J13" s="53">
        <v>72000000</v>
      </c>
      <c r="K13" s="53">
        <v>0</v>
      </c>
      <c r="L13" s="53">
        <v>0</v>
      </c>
      <c r="M13" s="115">
        <v>2300000</v>
      </c>
      <c r="N13" s="52">
        <f t="shared" si="4"/>
        <v>74300000</v>
      </c>
      <c r="O13" s="53">
        <v>0</v>
      </c>
      <c r="P13" s="53">
        <v>0</v>
      </c>
      <c r="Q13" s="53">
        <v>0</v>
      </c>
      <c r="R13" s="53">
        <v>0</v>
      </c>
      <c r="S13" s="53">
        <v>72000000</v>
      </c>
      <c r="T13" s="53">
        <v>0</v>
      </c>
      <c r="U13" s="53">
        <v>0</v>
      </c>
      <c r="V13" s="115">
        <v>2300000</v>
      </c>
      <c r="W13" s="159" t="s">
        <v>1167</v>
      </c>
    </row>
    <row r="14" spans="1:23" ht="18">
      <c r="A14" s="6"/>
      <c r="B14" s="6"/>
      <c r="C14" s="6" t="s">
        <v>519</v>
      </c>
      <c r="D14" s="9" t="s">
        <v>990</v>
      </c>
      <c r="E14" s="52">
        <f t="shared" si="3"/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115">
        <v>0</v>
      </c>
      <c r="N14" s="52">
        <f t="shared" si="4"/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115">
        <v>0</v>
      </c>
      <c r="W14" s="160">
        <v>57012</v>
      </c>
    </row>
    <row r="15" spans="1:23" ht="18">
      <c r="A15" s="6"/>
      <c r="B15" s="6"/>
      <c r="C15" s="6" t="s">
        <v>521</v>
      </c>
      <c r="D15" s="9" t="s">
        <v>989</v>
      </c>
      <c r="E15" s="52">
        <f t="shared" si="3"/>
        <v>1000000</v>
      </c>
      <c r="F15" s="53">
        <v>0</v>
      </c>
      <c r="G15" s="53">
        <v>0</v>
      </c>
      <c r="H15" s="53">
        <v>0</v>
      </c>
      <c r="I15" s="53">
        <v>0</v>
      </c>
      <c r="J15" s="53">
        <v>1000000</v>
      </c>
      <c r="K15" s="53">
        <v>0</v>
      </c>
      <c r="L15" s="53">
        <v>0</v>
      </c>
      <c r="M15" s="115">
        <v>0</v>
      </c>
      <c r="N15" s="52">
        <f t="shared" si="4"/>
        <v>1000000</v>
      </c>
      <c r="O15" s="53">
        <v>0</v>
      </c>
      <c r="P15" s="53">
        <v>0</v>
      </c>
      <c r="Q15" s="53">
        <v>0</v>
      </c>
      <c r="R15" s="53">
        <v>0</v>
      </c>
      <c r="S15" s="53">
        <v>1000000</v>
      </c>
      <c r="T15" s="53">
        <v>0</v>
      </c>
      <c r="U15" s="53">
        <v>0</v>
      </c>
      <c r="V15" s="115">
        <v>0</v>
      </c>
      <c r="W15" s="160">
        <v>57013</v>
      </c>
    </row>
    <row r="16" spans="1:23" ht="18">
      <c r="A16" s="6"/>
      <c r="B16" s="6"/>
      <c r="C16" s="6" t="s">
        <v>523</v>
      </c>
      <c r="D16" s="9" t="s">
        <v>522</v>
      </c>
      <c r="E16" s="52">
        <f t="shared" si="3"/>
        <v>771500000</v>
      </c>
      <c r="F16" s="53">
        <v>0</v>
      </c>
      <c r="G16" s="53">
        <v>0</v>
      </c>
      <c r="H16" s="53">
        <v>0</v>
      </c>
      <c r="I16" s="53">
        <v>0</v>
      </c>
      <c r="J16" s="53">
        <v>654000000</v>
      </c>
      <c r="K16" s="53">
        <v>0</v>
      </c>
      <c r="L16" s="53">
        <v>0</v>
      </c>
      <c r="M16" s="115">
        <v>117500000</v>
      </c>
      <c r="N16" s="52">
        <f t="shared" si="4"/>
        <v>771500000</v>
      </c>
      <c r="O16" s="53">
        <v>0</v>
      </c>
      <c r="P16" s="53">
        <v>0</v>
      </c>
      <c r="Q16" s="53">
        <v>0</v>
      </c>
      <c r="R16" s="53">
        <v>0</v>
      </c>
      <c r="S16" s="53">
        <v>654000000</v>
      </c>
      <c r="T16" s="53">
        <v>0</v>
      </c>
      <c r="U16" s="53">
        <v>0</v>
      </c>
      <c r="V16" s="115">
        <v>117500000</v>
      </c>
      <c r="W16" s="160" t="s">
        <v>1168</v>
      </c>
    </row>
    <row r="17" spans="1:23" ht="30">
      <c r="A17" s="6"/>
      <c r="B17" s="6"/>
      <c r="C17" s="6" t="s">
        <v>525</v>
      </c>
      <c r="D17" s="9" t="s">
        <v>524</v>
      </c>
      <c r="E17" s="52">
        <f t="shared" si="3"/>
        <v>45000000</v>
      </c>
      <c r="F17" s="53">
        <v>0</v>
      </c>
      <c r="G17" s="53">
        <v>0</v>
      </c>
      <c r="H17" s="53">
        <v>0</v>
      </c>
      <c r="I17" s="53">
        <v>0</v>
      </c>
      <c r="J17" s="53">
        <v>45000000</v>
      </c>
      <c r="K17" s="53">
        <v>0</v>
      </c>
      <c r="L17" s="53">
        <v>0</v>
      </c>
      <c r="M17" s="115">
        <v>0</v>
      </c>
      <c r="N17" s="52">
        <f t="shared" si="4"/>
        <v>45000000</v>
      </c>
      <c r="O17" s="53">
        <v>0</v>
      </c>
      <c r="P17" s="53">
        <v>0</v>
      </c>
      <c r="Q17" s="53">
        <v>0</v>
      </c>
      <c r="R17" s="53">
        <v>0</v>
      </c>
      <c r="S17" s="53">
        <v>45000000</v>
      </c>
      <c r="T17" s="53">
        <v>0</v>
      </c>
      <c r="U17" s="53">
        <v>0</v>
      </c>
      <c r="V17" s="115">
        <v>0</v>
      </c>
      <c r="W17" s="160" t="s">
        <v>1169</v>
      </c>
    </row>
    <row r="18" spans="1:23" ht="18">
      <c r="A18" s="6"/>
      <c r="B18" s="6"/>
      <c r="C18" s="6" t="s">
        <v>526</v>
      </c>
      <c r="D18" s="9" t="s">
        <v>998</v>
      </c>
      <c r="E18" s="52">
        <f t="shared" si="3"/>
        <v>130000000</v>
      </c>
      <c r="F18" s="53">
        <v>0</v>
      </c>
      <c r="G18" s="53">
        <v>0</v>
      </c>
      <c r="H18" s="53">
        <v>0</v>
      </c>
      <c r="I18" s="53">
        <v>0</v>
      </c>
      <c r="J18" s="95">
        <v>126500000</v>
      </c>
      <c r="K18" s="95">
        <v>0</v>
      </c>
      <c r="L18" s="95">
        <v>0</v>
      </c>
      <c r="M18" s="158">
        <v>3500000</v>
      </c>
      <c r="N18" s="52">
        <f t="shared" si="4"/>
        <v>132500000</v>
      </c>
      <c r="O18" s="53">
        <v>0</v>
      </c>
      <c r="P18" s="53">
        <v>0</v>
      </c>
      <c r="Q18" s="53">
        <v>0</v>
      </c>
      <c r="R18" s="53">
        <v>0</v>
      </c>
      <c r="S18" s="95">
        <v>120660000</v>
      </c>
      <c r="T18" s="95">
        <v>0</v>
      </c>
      <c r="U18" s="95">
        <v>0</v>
      </c>
      <c r="V18" s="158">
        <v>11840000</v>
      </c>
      <c r="W18" s="160">
        <v>57014</v>
      </c>
    </row>
    <row r="19" spans="1:23" ht="18">
      <c r="A19" s="6"/>
      <c r="B19" s="6"/>
      <c r="C19" s="6" t="s">
        <v>527</v>
      </c>
      <c r="D19" s="9" t="s">
        <v>1530</v>
      </c>
      <c r="E19" s="52">
        <f t="shared" si="3"/>
        <v>280000000</v>
      </c>
      <c r="F19" s="53">
        <v>0</v>
      </c>
      <c r="G19" s="53">
        <v>0</v>
      </c>
      <c r="H19" s="53">
        <v>0</v>
      </c>
      <c r="I19" s="53">
        <v>0</v>
      </c>
      <c r="J19" s="53">
        <v>271000000</v>
      </c>
      <c r="K19" s="53">
        <v>0</v>
      </c>
      <c r="L19" s="53">
        <v>0</v>
      </c>
      <c r="M19" s="115">
        <v>9000000</v>
      </c>
      <c r="N19" s="52">
        <f t="shared" si="4"/>
        <v>304500000</v>
      </c>
      <c r="O19" s="53">
        <v>0</v>
      </c>
      <c r="P19" s="53">
        <v>0</v>
      </c>
      <c r="Q19" s="53">
        <v>0</v>
      </c>
      <c r="R19" s="53">
        <v>0</v>
      </c>
      <c r="S19" s="53">
        <v>282000000</v>
      </c>
      <c r="T19" s="53">
        <v>0</v>
      </c>
      <c r="U19" s="53">
        <v>0</v>
      </c>
      <c r="V19" s="115">
        <v>22500000</v>
      </c>
      <c r="W19" s="159" t="s">
        <v>1170</v>
      </c>
    </row>
    <row r="20" spans="1:23" ht="18">
      <c r="A20" s="6"/>
      <c r="B20" s="6"/>
      <c r="C20" s="6" t="s">
        <v>529</v>
      </c>
      <c r="D20" s="9" t="s">
        <v>1439</v>
      </c>
      <c r="E20" s="52">
        <f t="shared" si="3"/>
        <v>28000000</v>
      </c>
      <c r="F20" s="53">
        <v>0</v>
      </c>
      <c r="G20" s="53">
        <v>0</v>
      </c>
      <c r="H20" s="53">
        <v>0</v>
      </c>
      <c r="I20" s="53">
        <v>0</v>
      </c>
      <c r="J20" s="53">
        <v>28000000</v>
      </c>
      <c r="K20" s="53">
        <v>0</v>
      </c>
      <c r="L20" s="53">
        <v>0</v>
      </c>
      <c r="M20" s="115">
        <v>0</v>
      </c>
      <c r="N20" s="52">
        <f t="shared" si="4"/>
        <v>28000000</v>
      </c>
      <c r="O20" s="53">
        <v>0</v>
      </c>
      <c r="P20" s="53">
        <v>0</v>
      </c>
      <c r="Q20" s="53">
        <v>0</v>
      </c>
      <c r="R20" s="53">
        <v>0</v>
      </c>
      <c r="S20" s="53">
        <v>28000000</v>
      </c>
      <c r="T20" s="53">
        <v>0</v>
      </c>
      <c r="U20" s="53">
        <v>0</v>
      </c>
      <c r="V20" s="115">
        <v>0</v>
      </c>
      <c r="W20" s="160">
        <v>57015</v>
      </c>
    </row>
    <row r="21" spans="1:23" ht="18">
      <c r="A21" s="6"/>
      <c r="B21" s="6"/>
      <c r="C21" s="6" t="s">
        <v>530</v>
      </c>
      <c r="D21" s="9" t="s">
        <v>528</v>
      </c>
      <c r="E21" s="52">
        <f t="shared" si="3"/>
        <v>230000000</v>
      </c>
      <c r="F21" s="53">
        <v>0</v>
      </c>
      <c r="G21" s="53">
        <v>0</v>
      </c>
      <c r="H21" s="53">
        <v>0</v>
      </c>
      <c r="I21" s="53">
        <v>0</v>
      </c>
      <c r="J21" s="95">
        <v>230000000</v>
      </c>
      <c r="K21" s="53">
        <v>0</v>
      </c>
      <c r="L21" s="53">
        <v>0</v>
      </c>
      <c r="M21" s="115">
        <v>0</v>
      </c>
      <c r="N21" s="52">
        <f t="shared" si="4"/>
        <v>230000000</v>
      </c>
      <c r="O21" s="53">
        <v>0</v>
      </c>
      <c r="P21" s="53">
        <v>0</v>
      </c>
      <c r="Q21" s="53">
        <v>0</v>
      </c>
      <c r="R21" s="53">
        <v>0</v>
      </c>
      <c r="S21" s="95">
        <v>230000000</v>
      </c>
      <c r="T21" s="53">
        <v>0</v>
      </c>
      <c r="U21" s="53">
        <v>0</v>
      </c>
      <c r="V21" s="115">
        <v>0</v>
      </c>
      <c r="W21" s="160" t="s">
        <v>1171</v>
      </c>
    </row>
    <row r="22" spans="1:23" ht="18">
      <c r="A22" s="6"/>
      <c r="B22" s="6"/>
      <c r="C22" s="6" t="s">
        <v>532</v>
      </c>
      <c r="D22" s="9" t="s">
        <v>531</v>
      </c>
      <c r="E22" s="52">
        <f t="shared" si="3"/>
        <v>688000000</v>
      </c>
      <c r="F22" s="53">
        <v>0</v>
      </c>
      <c r="G22" s="53">
        <v>0</v>
      </c>
      <c r="H22" s="53">
        <v>0</v>
      </c>
      <c r="I22" s="53">
        <v>0</v>
      </c>
      <c r="J22" s="53">
        <v>675000000</v>
      </c>
      <c r="K22" s="53">
        <v>0</v>
      </c>
      <c r="L22" s="53">
        <v>0</v>
      </c>
      <c r="M22" s="115">
        <v>13000000</v>
      </c>
      <c r="N22" s="52">
        <f t="shared" si="4"/>
        <v>688000000</v>
      </c>
      <c r="O22" s="53">
        <v>0</v>
      </c>
      <c r="P22" s="53">
        <v>0</v>
      </c>
      <c r="Q22" s="53">
        <v>0</v>
      </c>
      <c r="R22" s="53">
        <v>0</v>
      </c>
      <c r="S22" s="53">
        <v>675000000</v>
      </c>
      <c r="T22" s="53">
        <v>0</v>
      </c>
      <c r="U22" s="53">
        <v>0</v>
      </c>
      <c r="V22" s="115">
        <v>13000000</v>
      </c>
      <c r="W22" s="160" t="s">
        <v>1172</v>
      </c>
    </row>
    <row r="23" spans="1:23" ht="18">
      <c r="A23" s="6"/>
      <c r="B23" s="6"/>
      <c r="C23" s="6" t="s">
        <v>958</v>
      </c>
      <c r="D23" s="9" t="s">
        <v>802</v>
      </c>
      <c r="E23" s="52">
        <f t="shared" si="3"/>
        <v>240000000</v>
      </c>
      <c r="F23" s="53">
        <v>0</v>
      </c>
      <c r="G23" s="53">
        <v>0</v>
      </c>
      <c r="H23" s="53">
        <v>0</v>
      </c>
      <c r="I23" s="53">
        <v>0</v>
      </c>
      <c r="J23" s="95">
        <v>235800000</v>
      </c>
      <c r="K23" s="95">
        <v>0</v>
      </c>
      <c r="L23" s="95">
        <v>0</v>
      </c>
      <c r="M23" s="158">
        <v>4200000</v>
      </c>
      <c r="N23" s="52">
        <f t="shared" si="4"/>
        <v>247540000</v>
      </c>
      <c r="O23" s="53">
        <v>0</v>
      </c>
      <c r="P23" s="53">
        <v>0</v>
      </c>
      <c r="Q23" s="53">
        <v>0</v>
      </c>
      <c r="R23" s="53">
        <v>0</v>
      </c>
      <c r="S23" s="95">
        <v>243340000</v>
      </c>
      <c r="T23" s="95">
        <v>0</v>
      </c>
      <c r="U23" s="95">
        <v>0</v>
      </c>
      <c r="V23" s="158">
        <v>4200000</v>
      </c>
      <c r="W23" s="160" t="s">
        <v>1173</v>
      </c>
    </row>
    <row r="24" spans="1:23" ht="18">
      <c r="A24" s="6"/>
      <c r="B24" s="6"/>
      <c r="C24" s="6" t="s">
        <v>959</v>
      </c>
      <c r="D24" s="9" t="s">
        <v>533</v>
      </c>
      <c r="E24" s="52">
        <f t="shared" si="3"/>
        <v>248000000</v>
      </c>
      <c r="F24" s="53">
        <v>0</v>
      </c>
      <c r="G24" s="53">
        <v>0</v>
      </c>
      <c r="H24" s="53">
        <v>0</v>
      </c>
      <c r="I24" s="53">
        <v>0</v>
      </c>
      <c r="J24" s="53">
        <v>225000000</v>
      </c>
      <c r="K24" s="53">
        <v>0</v>
      </c>
      <c r="L24" s="53">
        <v>0</v>
      </c>
      <c r="M24" s="115">
        <v>23000000</v>
      </c>
      <c r="N24" s="52">
        <f t="shared" si="4"/>
        <v>248000000</v>
      </c>
      <c r="O24" s="53">
        <v>0</v>
      </c>
      <c r="P24" s="53">
        <v>0</v>
      </c>
      <c r="Q24" s="53">
        <v>0</v>
      </c>
      <c r="R24" s="53">
        <v>0</v>
      </c>
      <c r="S24" s="53">
        <v>231989671</v>
      </c>
      <c r="T24" s="53">
        <v>0</v>
      </c>
      <c r="U24" s="53">
        <v>0</v>
      </c>
      <c r="V24" s="115">
        <v>16010329</v>
      </c>
      <c r="W24" s="160" t="s">
        <v>1174</v>
      </c>
    </row>
    <row r="25" spans="1:23" ht="18">
      <c r="A25" s="6" t="s">
        <v>117</v>
      </c>
      <c r="B25" s="6"/>
      <c r="C25" s="6"/>
      <c r="D25" s="41" t="s">
        <v>41</v>
      </c>
      <c r="E25" s="10">
        <f t="shared" si="3"/>
        <v>379253644</v>
      </c>
      <c r="F25" s="58">
        <f aca="true" t="shared" si="5" ref="F25:M25">F26+F33+F42</f>
        <v>0</v>
      </c>
      <c r="G25" s="58">
        <f t="shared" si="5"/>
        <v>0</v>
      </c>
      <c r="H25" s="58">
        <f t="shared" si="5"/>
        <v>29953644</v>
      </c>
      <c r="I25" s="58">
        <f t="shared" si="5"/>
        <v>0</v>
      </c>
      <c r="J25" s="58">
        <f t="shared" si="5"/>
        <v>270600000</v>
      </c>
      <c r="K25" s="58">
        <f t="shared" si="5"/>
        <v>0</v>
      </c>
      <c r="L25" s="58">
        <f t="shared" si="5"/>
        <v>0</v>
      </c>
      <c r="M25" s="64">
        <f t="shared" si="5"/>
        <v>78700000</v>
      </c>
      <c r="N25" s="10">
        <f t="shared" si="4"/>
        <v>295975194</v>
      </c>
      <c r="O25" s="58">
        <f aca="true" t="shared" si="6" ref="O25:V25">O26+O33+O42</f>
        <v>0</v>
      </c>
      <c r="P25" s="58">
        <f t="shared" si="6"/>
        <v>0</v>
      </c>
      <c r="Q25" s="58">
        <f t="shared" si="6"/>
        <v>29953644</v>
      </c>
      <c r="R25" s="58">
        <f t="shared" si="6"/>
        <v>0</v>
      </c>
      <c r="S25" s="58">
        <f t="shared" si="6"/>
        <v>186121550</v>
      </c>
      <c r="T25" s="58">
        <f t="shared" si="6"/>
        <v>0</v>
      </c>
      <c r="U25" s="58">
        <f t="shared" si="6"/>
        <v>0</v>
      </c>
      <c r="V25" s="64">
        <f t="shared" si="6"/>
        <v>79900000</v>
      </c>
      <c r="W25" s="160"/>
    </row>
    <row r="26" spans="1:23" ht="18">
      <c r="A26" s="6"/>
      <c r="B26" s="6" t="s">
        <v>534</v>
      </c>
      <c r="C26" s="6"/>
      <c r="D26" s="41" t="s">
        <v>535</v>
      </c>
      <c r="E26" s="10">
        <f t="shared" si="3"/>
        <v>188700000</v>
      </c>
      <c r="F26" s="58">
        <f>SUM(F27:F32)</f>
        <v>0</v>
      </c>
      <c r="G26" s="58">
        <f aca="true" t="shared" si="7" ref="G26:M26">SUM(G27:G32)</f>
        <v>0</v>
      </c>
      <c r="H26" s="58">
        <f t="shared" si="7"/>
        <v>0</v>
      </c>
      <c r="I26" s="58">
        <f t="shared" si="7"/>
        <v>0</v>
      </c>
      <c r="J26" s="58">
        <f t="shared" si="7"/>
        <v>110000000</v>
      </c>
      <c r="K26" s="58">
        <f t="shared" si="7"/>
        <v>0</v>
      </c>
      <c r="L26" s="58">
        <f t="shared" si="7"/>
        <v>0</v>
      </c>
      <c r="M26" s="58">
        <f t="shared" si="7"/>
        <v>78700000</v>
      </c>
      <c r="N26" s="10">
        <f t="shared" si="4"/>
        <v>143700000</v>
      </c>
      <c r="O26" s="58">
        <f>SUM(O27:O32)</f>
        <v>0</v>
      </c>
      <c r="P26" s="58">
        <f aca="true" t="shared" si="8" ref="P26:V26">SUM(P27:P32)</f>
        <v>0</v>
      </c>
      <c r="Q26" s="58">
        <f t="shared" si="8"/>
        <v>0</v>
      </c>
      <c r="R26" s="58">
        <f t="shared" si="8"/>
        <v>0</v>
      </c>
      <c r="S26" s="58">
        <f t="shared" si="8"/>
        <v>65000000</v>
      </c>
      <c r="T26" s="58">
        <f t="shared" si="8"/>
        <v>0</v>
      </c>
      <c r="U26" s="58">
        <f t="shared" si="8"/>
        <v>0</v>
      </c>
      <c r="V26" s="58">
        <f t="shared" si="8"/>
        <v>78700000</v>
      </c>
      <c r="W26" s="160"/>
    </row>
    <row r="27" spans="1:23" ht="30">
      <c r="A27" s="6"/>
      <c r="B27" s="6"/>
      <c r="C27" s="6" t="s">
        <v>536</v>
      </c>
      <c r="D27" s="9" t="s">
        <v>987</v>
      </c>
      <c r="E27" s="52">
        <f t="shared" si="3"/>
        <v>3000000</v>
      </c>
      <c r="F27" s="53">
        <v>0</v>
      </c>
      <c r="G27" s="53">
        <v>0</v>
      </c>
      <c r="H27" s="53">
        <v>0</v>
      </c>
      <c r="I27" s="53">
        <v>0</v>
      </c>
      <c r="J27" s="53">
        <v>3000000</v>
      </c>
      <c r="K27" s="53">
        <v>0</v>
      </c>
      <c r="L27" s="53">
        <v>0</v>
      </c>
      <c r="M27" s="115">
        <v>0</v>
      </c>
      <c r="N27" s="52">
        <f t="shared" si="4"/>
        <v>3000000</v>
      </c>
      <c r="O27" s="53">
        <v>0</v>
      </c>
      <c r="P27" s="53">
        <v>0</v>
      </c>
      <c r="Q27" s="53">
        <v>0</v>
      </c>
      <c r="R27" s="53">
        <v>0</v>
      </c>
      <c r="S27" s="53">
        <v>3000000</v>
      </c>
      <c r="T27" s="53">
        <v>0</v>
      </c>
      <c r="U27" s="53">
        <v>0</v>
      </c>
      <c r="V27" s="115">
        <v>0</v>
      </c>
      <c r="W27" s="160" t="s">
        <v>1175</v>
      </c>
    </row>
    <row r="28" spans="1:23" ht="30">
      <c r="A28" s="6"/>
      <c r="B28" s="6"/>
      <c r="C28" s="6" t="s">
        <v>537</v>
      </c>
      <c r="D28" s="9" t="s">
        <v>988</v>
      </c>
      <c r="E28" s="52">
        <f t="shared" si="3"/>
        <v>17000000</v>
      </c>
      <c r="F28" s="53">
        <v>0</v>
      </c>
      <c r="G28" s="53">
        <v>0</v>
      </c>
      <c r="H28" s="53">
        <v>0</v>
      </c>
      <c r="I28" s="53">
        <v>0</v>
      </c>
      <c r="J28" s="53">
        <v>17000000</v>
      </c>
      <c r="K28" s="53">
        <v>0</v>
      </c>
      <c r="L28" s="53">
        <v>0</v>
      </c>
      <c r="M28" s="115">
        <v>0</v>
      </c>
      <c r="N28" s="52">
        <f t="shared" si="4"/>
        <v>17000000</v>
      </c>
      <c r="O28" s="53">
        <v>0</v>
      </c>
      <c r="P28" s="53">
        <v>0</v>
      </c>
      <c r="Q28" s="53">
        <v>0</v>
      </c>
      <c r="R28" s="53">
        <v>0</v>
      </c>
      <c r="S28" s="53">
        <v>17000000</v>
      </c>
      <c r="T28" s="53">
        <v>0</v>
      </c>
      <c r="U28" s="53">
        <v>0</v>
      </c>
      <c r="V28" s="115">
        <v>0</v>
      </c>
      <c r="W28" s="160" t="s">
        <v>1176</v>
      </c>
    </row>
    <row r="29" spans="1:23" ht="18">
      <c r="A29" s="6"/>
      <c r="B29" s="6"/>
      <c r="C29" s="6" t="s">
        <v>538</v>
      </c>
      <c r="D29" s="9" t="s">
        <v>800</v>
      </c>
      <c r="E29" s="52">
        <f t="shared" si="3"/>
        <v>78700000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115">
        <v>78700000</v>
      </c>
      <c r="N29" s="52">
        <f t="shared" si="4"/>
        <v>78700000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115">
        <v>78700000</v>
      </c>
      <c r="W29" s="160" t="s">
        <v>1177</v>
      </c>
    </row>
    <row r="30" spans="1:23" ht="18">
      <c r="A30" s="6"/>
      <c r="B30" s="6"/>
      <c r="C30" s="6" t="s">
        <v>539</v>
      </c>
      <c r="D30" s="71" t="s">
        <v>541</v>
      </c>
      <c r="E30" s="52">
        <f t="shared" si="3"/>
        <v>40000000</v>
      </c>
      <c r="F30" s="53">
        <v>0</v>
      </c>
      <c r="G30" s="53">
        <v>0</v>
      </c>
      <c r="H30" s="53">
        <v>0</v>
      </c>
      <c r="I30" s="53">
        <v>0</v>
      </c>
      <c r="J30" s="53">
        <v>40000000</v>
      </c>
      <c r="K30" s="53">
        <v>0</v>
      </c>
      <c r="L30" s="53">
        <v>0</v>
      </c>
      <c r="M30" s="115">
        <v>0</v>
      </c>
      <c r="N30" s="52">
        <f t="shared" si="4"/>
        <v>20000000</v>
      </c>
      <c r="O30" s="53">
        <v>0</v>
      </c>
      <c r="P30" s="53">
        <v>0</v>
      </c>
      <c r="Q30" s="53">
        <v>0</v>
      </c>
      <c r="R30" s="53">
        <v>0</v>
      </c>
      <c r="S30" s="53">
        <v>20000000</v>
      </c>
      <c r="T30" s="53">
        <v>0</v>
      </c>
      <c r="U30" s="53">
        <v>0</v>
      </c>
      <c r="V30" s="115">
        <v>0</v>
      </c>
      <c r="W30" s="160" t="s">
        <v>1178</v>
      </c>
    </row>
    <row r="31" spans="1:23" ht="18">
      <c r="A31" s="6"/>
      <c r="B31" s="6"/>
      <c r="C31" s="6" t="s">
        <v>540</v>
      </c>
      <c r="D31" s="71" t="s">
        <v>799</v>
      </c>
      <c r="E31" s="52">
        <f t="shared" si="3"/>
        <v>50000000</v>
      </c>
      <c r="F31" s="53">
        <v>0</v>
      </c>
      <c r="G31" s="53">
        <v>0</v>
      </c>
      <c r="H31" s="53">
        <v>0</v>
      </c>
      <c r="I31" s="53">
        <v>0</v>
      </c>
      <c r="J31" s="53">
        <v>50000000</v>
      </c>
      <c r="K31" s="53">
        <v>0</v>
      </c>
      <c r="L31" s="53">
        <v>0</v>
      </c>
      <c r="M31" s="115">
        <v>0</v>
      </c>
      <c r="N31" s="52">
        <f t="shared" si="4"/>
        <v>25000000</v>
      </c>
      <c r="O31" s="53">
        <v>0</v>
      </c>
      <c r="P31" s="53">
        <v>0</v>
      </c>
      <c r="Q31" s="53">
        <v>0</v>
      </c>
      <c r="R31" s="53">
        <v>0</v>
      </c>
      <c r="S31" s="53">
        <v>25000000</v>
      </c>
      <c r="T31" s="53">
        <v>0</v>
      </c>
      <c r="U31" s="53">
        <v>0</v>
      </c>
      <c r="V31" s="115">
        <v>0</v>
      </c>
      <c r="W31" s="160" t="s">
        <v>1179</v>
      </c>
    </row>
    <row r="32" spans="1:23" ht="18">
      <c r="A32" s="6"/>
      <c r="B32" s="6"/>
      <c r="C32" s="6" t="s">
        <v>1531</v>
      </c>
      <c r="D32" s="71" t="s">
        <v>1532</v>
      </c>
      <c r="E32" s="52">
        <f t="shared" si="3"/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115">
        <v>0</v>
      </c>
      <c r="N32" s="52">
        <f t="shared" si="4"/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115">
        <v>0</v>
      </c>
      <c r="W32" s="160">
        <v>57109</v>
      </c>
    </row>
    <row r="33" spans="1:23" ht="18">
      <c r="A33" s="6"/>
      <c r="B33" s="6" t="s">
        <v>542</v>
      </c>
      <c r="C33" s="6"/>
      <c r="D33" s="41" t="s">
        <v>543</v>
      </c>
      <c r="E33" s="10">
        <f>SUM(F33:M33)</f>
        <v>160600000</v>
      </c>
      <c r="F33" s="58">
        <f aca="true" t="shared" si="9" ref="F33:M33">SUM(F34:F41)</f>
        <v>0</v>
      </c>
      <c r="G33" s="58">
        <f t="shared" si="9"/>
        <v>0</v>
      </c>
      <c r="H33" s="58">
        <f t="shared" si="9"/>
        <v>0</v>
      </c>
      <c r="I33" s="58">
        <f t="shared" si="9"/>
        <v>0</v>
      </c>
      <c r="J33" s="58">
        <f t="shared" si="9"/>
        <v>160600000</v>
      </c>
      <c r="K33" s="58">
        <f t="shared" si="9"/>
        <v>0</v>
      </c>
      <c r="L33" s="58">
        <f t="shared" si="9"/>
        <v>0</v>
      </c>
      <c r="M33" s="58">
        <f t="shared" si="9"/>
        <v>0</v>
      </c>
      <c r="N33" s="10">
        <f>SUM(O33:V33)</f>
        <v>122321550</v>
      </c>
      <c r="O33" s="58">
        <f aca="true" t="shared" si="10" ref="O33:V33">SUM(O34:O41)</f>
        <v>0</v>
      </c>
      <c r="P33" s="58">
        <f t="shared" si="10"/>
        <v>0</v>
      </c>
      <c r="Q33" s="58">
        <f t="shared" si="10"/>
        <v>0</v>
      </c>
      <c r="R33" s="58">
        <f t="shared" si="10"/>
        <v>0</v>
      </c>
      <c r="S33" s="58">
        <f t="shared" si="10"/>
        <v>121121550</v>
      </c>
      <c r="T33" s="58">
        <f t="shared" si="10"/>
        <v>0</v>
      </c>
      <c r="U33" s="58">
        <f t="shared" si="10"/>
        <v>0</v>
      </c>
      <c r="V33" s="58">
        <f t="shared" si="10"/>
        <v>1200000</v>
      </c>
      <c r="W33" s="160"/>
    </row>
    <row r="34" spans="1:23" ht="18">
      <c r="A34" s="6"/>
      <c r="B34" s="6"/>
      <c r="C34" s="6" t="s">
        <v>544</v>
      </c>
      <c r="D34" s="9" t="s">
        <v>545</v>
      </c>
      <c r="E34" s="52">
        <f t="shared" si="3"/>
        <v>10000000</v>
      </c>
      <c r="F34" s="53">
        <v>0</v>
      </c>
      <c r="G34" s="53">
        <v>0</v>
      </c>
      <c r="H34" s="53">
        <v>0</v>
      </c>
      <c r="I34" s="53">
        <v>0</v>
      </c>
      <c r="J34" s="53">
        <v>10000000</v>
      </c>
      <c r="K34" s="53">
        <v>0</v>
      </c>
      <c r="L34" s="53">
        <v>0</v>
      </c>
      <c r="M34" s="115">
        <v>0</v>
      </c>
      <c r="N34" s="52">
        <f aca="true" t="shared" si="11" ref="N34:N52">SUM(O34:V34)</f>
        <v>10000000</v>
      </c>
      <c r="O34" s="53">
        <v>0</v>
      </c>
      <c r="P34" s="53">
        <v>0</v>
      </c>
      <c r="Q34" s="53">
        <v>0</v>
      </c>
      <c r="R34" s="53">
        <v>0</v>
      </c>
      <c r="S34" s="53">
        <v>8800000</v>
      </c>
      <c r="T34" s="53">
        <v>0</v>
      </c>
      <c r="U34" s="53">
        <v>0</v>
      </c>
      <c r="V34" s="115">
        <v>1200000</v>
      </c>
      <c r="W34" s="160" t="s">
        <v>1180</v>
      </c>
    </row>
    <row r="35" spans="1:23" ht="18">
      <c r="A35" s="6"/>
      <c r="B35" s="6"/>
      <c r="C35" s="6" t="s">
        <v>546</v>
      </c>
      <c r="D35" s="9" t="s">
        <v>1468</v>
      </c>
      <c r="E35" s="52">
        <f t="shared" si="3"/>
        <v>10000000</v>
      </c>
      <c r="F35" s="53">
        <v>0</v>
      </c>
      <c r="G35" s="53">
        <v>0</v>
      </c>
      <c r="H35" s="53">
        <v>0</v>
      </c>
      <c r="I35" s="53">
        <v>0</v>
      </c>
      <c r="J35" s="53">
        <v>10000000</v>
      </c>
      <c r="K35" s="53">
        <v>0</v>
      </c>
      <c r="L35" s="53">
        <v>0</v>
      </c>
      <c r="M35" s="115">
        <v>0</v>
      </c>
      <c r="N35" s="52">
        <f t="shared" si="11"/>
        <v>10000000</v>
      </c>
      <c r="O35" s="53">
        <v>0</v>
      </c>
      <c r="P35" s="53">
        <v>0</v>
      </c>
      <c r="Q35" s="53">
        <v>0</v>
      </c>
      <c r="R35" s="53">
        <v>0</v>
      </c>
      <c r="S35" s="53">
        <v>10000000</v>
      </c>
      <c r="T35" s="53">
        <v>0</v>
      </c>
      <c r="U35" s="53">
        <v>0</v>
      </c>
      <c r="V35" s="115">
        <v>0</v>
      </c>
      <c r="W35" s="160" t="s">
        <v>1181</v>
      </c>
    </row>
    <row r="36" spans="1:23" ht="18">
      <c r="A36" s="6"/>
      <c r="B36" s="6"/>
      <c r="C36" s="6" t="s">
        <v>547</v>
      </c>
      <c r="D36" s="9" t="s">
        <v>549</v>
      </c>
      <c r="E36" s="52">
        <f t="shared" si="3"/>
        <v>16100000</v>
      </c>
      <c r="F36" s="53">
        <v>0</v>
      </c>
      <c r="G36" s="53">
        <v>0</v>
      </c>
      <c r="H36" s="53">
        <v>0</v>
      </c>
      <c r="I36" s="53">
        <v>0</v>
      </c>
      <c r="J36" s="53">
        <v>16100000</v>
      </c>
      <c r="K36" s="53">
        <v>0</v>
      </c>
      <c r="L36" s="53">
        <v>0</v>
      </c>
      <c r="M36" s="115">
        <v>0</v>
      </c>
      <c r="N36" s="52">
        <f t="shared" si="11"/>
        <v>16100000</v>
      </c>
      <c r="O36" s="53">
        <v>0</v>
      </c>
      <c r="P36" s="53">
        <v>0</v>
      </c>
      <c r="Q36" s="53">
        <v>0</v>
      </c>
      <c r="R36" s="53">
        <v>0</v>
      </c>
      <c r="S36" s="53">
        <v>16100000</v>
      </c>
      <c r="T36" s="53">
        <v>0</v>
      </c>
      <c r="U36" s="53">
        <v>0</v>
      </c>
      <c r="V36" s="115">
        <v>0</v>
      </c>
      <c r="W36" s="160" t="s">
        <v>1182</v>
      </c>
    </row>
    <row r="37" spans="1:23" ht="18">
      <c r="A37" s="6"/>
      <c r="B37" s="6"/>
      <c r="C37" s="6" t="s">
        <v>548</v>
      </c>
      <c r="D37" s="9" t="s">
        <v>804</v>
      </c>
      <c r="E37" s="52">
        <f t="shared" si="3"/>
        <v>40000000</v>
      </c>
      <c r="F37" s="53">
        <v>0</v>
      </c>
      <c r="G37" s="53">
        <v>0</v>
      </c>
      <c r="H37" s="53">
        <v>0</v>
      </c>
      <c r="I37" s="53">
        <v>0</v>
      </c>
      <c r="J37" s="53">
        <v>40000000</v>
      </c>
      <c r="K37" s="53">
        <v>0</v>
      </c>
      <c r="L37" s="53">
        <v>0</v>
      </c>
      <c r="M37" s="115">
        <v>0</v>
      </c>
      <c r="N37" s="52">
        <f t="shared" si="11"/>
        <v>31721550</v>
      </c>
      <c r="O37" s="53">
        <v>0</v>
      </c>
      <c r="P37" s="53">
        <v>0</v>
      </c>
      <c r="Q37" s="53">
        <v>0</v>
      </c>
      <c r="R37" s="53">
        <v>0</v>
      </c>
      <c r="S37" s="53">
        <v>31721550</v>
      </c>
      <c r="T37" s="53">
        <v>0</v>
      </c>
      <c r="U37" s="53">
        <v>0</v>
      </c>
      <c r="V37" s="115">
        <v>0</v>
      </c>
      <c r="W37" s="160" t="s">
        <v>1183</v>
      </c>
    </row>
    <row r="38" spans="1:23" ht="18">
      <c r="A38" s="6"/>
      <c r="B38" s="6"/>
      <c r="C38" s="6" t="s">
        <v>550</v>
      </c>
      <c r="D38" s="9" t="s">
        <v>803</v>
      </c>
      <c r="E38" s="52">
        <f t="shared" si="3"/>
        <v>50000000</v>
      </c>
      <c r="F38" s="53">
        <v>0</v>
      </c>
      <c r="G38" s="53">
        <v>0</v>
      </c>
      <c r="H38" s="53">
        <v>0</v>
      </c>
      <c r="I38" s="53">
        <v>0</v>
      </c>
      <c r="J38" s="53">
        <v>50000000</v>
      </c>
      <c r="K38" s="53">
        <v>0</v>
      </c>
      <c r="L38" s="53">
        <v>0</v>
      </c>
      <c r="M38" s="115">
        <v>0</v>
      </c>
      <c r="N38" s="52">
        <f t="shared" si="11"/>
        <v>50000000</v>
      </c>
      <c r="O38" s="53">
        <v>0</v>
      </c>
      <c r="P38" s="53">
        <v>0</v>
      </c>
      <c r="Q38" s="53">
        <v>0</v>
      </c>
      <c r="R38" s="53">
        <v>0</v>
      </c>
      <c r="S38" s="53">
        <v>50000000</v>
      </c>
      <c r="T38" s="53">
        <v>0</v>
      </c>
      <c r="U38" s="53">
        <v>0</v>
      </c>
      <c r="V38" s="115">
        <v>0</v>
      </c>
      <c r="W38" s="160" t="s">
        <v>1184</v>
      </c>
    </row>
    <row r="39" spans="1:23" ht="18">
      <c r="A39" s="6"/>
      <c r="B39" s="6"/>
      <c r="C39" s="6" t="s">
        <v>551</v>
      </c>
      <c r="D39" s="9" t="s">
        <v>552</v>
      </c>
      <c r="E39" s="52">
        <f t="shared" si="3"/>
        <v>2000000</v>
      </c>
      <c r="F39" s="53">
        <v>0</v>
      </c>
      <c r="G39" s="53">
        <v>0</v>
      </c>
      <c r="H39" s="53">
        <v>0</v>
      </c>
      <c r="I39" s="53">
        <v>0</v>
      </c>
      <c r="J39" s="53">
        <v>2000000</v>
      </c>
      <c r="K39" s="53">
        <v>0</v>
      </c>
      <c r="L39" s="53">
        <v>0</v>
      </c>
      <c r="M39" s="115">
        <v>0</v>
      </c>
      <c r="N39" s="52">
        <f t="shared" si="11"/>
        <v>2000000</v>
      </c>
      <c r="O39" s="53">
        <v>0</v>
      </c>
      <c r="P39" s="53">
        <v>0</v>
      </c>
      <c r="Q39" s="53">
        <v>0</v>
      </c>
      <c r="R39" s="53">
        <v>0</v>
      </c>
      <c r="S39" s="53">
        <v>2000000</v>
      </c>
      <c r="T39" s="53">
        <v>0</v>
      </c>
      <c r="U39" s="53">
        <v>0</v>
      </c>
      <c r="V39" s="115">
        <v>0</v>
      </c>
      <c r="W39" s="160" t="s">
        <v>1185</v>
      </c>
    </row>
    <row r="40" spans="1:23" ht="18">
      <c r="A40" s="6"/>
      <c r="B40" s="6"/>
      <c r="C40" s="6" t="s">
        <v>968</v>
      </c>
      <c r="D40" s="9" t="s">
        <v>1257</v>
      </c>
      <c r="E40" s="52">
        <f t="shared" si="3"/>
        <v>30000000</v>
      </c>
      <c r="F40" s="53">
        <v>0</v>
      </c>
      <c r="G40" s="53">
        <v>0</v>
      </c>
      <c r="H40" s="53">
        <v>0</v>
      </c>
      <c r="I40" s="53">
        <v>0</v>
      </c>
      <c r="J40" s="53">
        <v>30000000</v>
      </c>
      <c r="K40" s="53">
        <v>0</v>
      </c>
      <c r="L40" s="53">
        <v>0</v>
      </c>
      <c r="M40" s="115">
        <v>0</v>
      </c>
      <c r="N40" s="52">
        <f t="shared" si="11"/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115">
        <v>0</v>
      </c>
      <c r="W40" s="160">
        <v>57208</v>
      </c>
    </row>
    <row r="41" spans="1:23" ht="33.75" customHeight="1">
      <c r="A41" s="6"/>
      <c r="B41" s="6"/>
      <c r="C41" s="6" t="s">
        <v>1256</v>
      </c>
      <c r="D41" s="9" t="s">
        <v>1432</v>
      </c>
      <c r="E41" s="52">
        <f t="shared" si="3"/>
        <v>2500000</v>
      </c>
      <c r="F41" s="53">
        <v>0</v>
      </c>
      <c r="G41" s="53">
        <v>0</v>
      </c>
      <c r="H41" s="53">
        <v>0</v>
      </c>
      <c r="I41" s="53">
        <v>0</v>
      </c>
      <c r="J41" s="53">
        <v>2500000</v>
      </c>
      <c r="K41" s="53">
        <v>0</v>
      </c>
      <c r="L41" s="53">
        <v>0</v>
      </c>
      <c r="M41" s="115">
        <v>0</v>
      </c>
      <c r="N41" s="52">
        <f t="shared" si="11"/>
        <v>2500000</v>
      </c>
      <c r="O41" s="53">
        <v>0</v>
      </c>
      <c r="P41" s="53">
        <v>0</v>
      </c>
      <c r="Q41" s="53">
        <v>0</v>
      </c>
      <c r="R41" s="53">
        <v>0</v>
      </c>
      <c r="S41" s="53">
        <v>2500000</v>
      </c>
      <c r="T41" s="53">
        <v>0</v>
      </c>
      <c r="U41" s="53">
        <v>0</v>
      </c>
      <c r="V41" s="115">
        <v>0</v>
      </c>
      <c r="W41" s="210">
        <v>57210</v>
      </c>
    </row>
    <row r="42" spans="1:23" s="66" customFormat="1" ht="18">
      <c r="A42" s="56"/>
      <c r="B42" s="6" t="s">
        <v>553</v>
      </c>
      <c r="C42" s="6"/>
      <c r="D42" s="41" t="s">
        <v>554</v>
      </c>
      <c r="E42" s="10">
        <f aca="true" t="shared" si="12" ref="E42:E52">SUM(F42:M42)</f>
        <v>29953644</v>
      </c>
      <c r="F42" s="58">
        <f aca="true" t="shared" si="13" ref="F42:M42">SUM(F43:F50)</f>
        <v>0</v>
      </c>
      <c r="G42" s="58">
        <f t="shared" si="13"/>
        <v>0</v>
      </c>
      <c r="H42" s="58">
        <f t="shared" si="13"/>
        <v>29953644</v>
      </c>
      <c r="I42" s="58">
        <f t="shared" si="13"/>
        <v>0</v>
      </c>
      <c r="J42" s="58">
        <f t="shared" si="13"/>
        <v>0</v>
      </c>
      <c r="K42" s="58">
        <f t="shared" si="13"/>
        <v>0</v>
      </c>
      <c r="L42" s="58">
        <f t="shared" si="13"/>
        <v>0</v>
      </c>
      <c r="M42" s="64">
        <f t="shared" si="13"/>
        <v>0</v>
      </c>
      <c r="N42" s="10">
        <f t="shared" si="11"/>
        <v>29953644</v>
      </c>
      <c r="O42" s="58">
        <f aca="true" t="shared" si="14" ref="O42:V42">SUM(O43:O50)</f>
        <v>0</v>
      </c>
      <c r="P42" s="58">
        <f t="shared" si="14"/>
        <v>0</v>
      </c>
      <c r="Q42" s="58">
        <f t="shared" si="14"/>
        <v>29953644</v>
      </c>
      <c r="R42" s="58">
        <f t="shared" si="14"/>
        <v>0</v>
      </c>
      <c r="S42" s="58">
        <f t="shared" si="14"/>
        <v>0</v>
      </c>
      <c r="T42" s="58">
        <f t="shared" si="14"/>
        <v>0</v>
      </c>
      <c r="U42" s="58">
        <f t="shared" si="14"/>
        <v>0</v>
      </c>
      <c r="V42" s="64">
        <f t="shared" si="14"/>
        <v>0</v>
      </c>
      <c r="W42" s="161"/>
    </row>
    <row r="43" spans="1:23" ht="18">
      <c r="A43" s="6"/>
      <c r="B43" s="6"/>
      <c r="C43" s="6" t="s">
        <v>555</v>
      </c>
      <c r="D43" s="9" t="s">
        <v>556</v>
      </c>
      <c r="E43" s="52">
        <f t="shared" si="12"/>
        <v>6100000</v>
      </c>
      <c r="F43" s="53">
        <v>0</v>
      </c>
      <c r="G43" s="53">
        <v>0</v>
      </c>
      <c r="H43" s="53">
        <v>6100000</v>
      </c>
      <c r="I43" s="53">
        <v>0</v>
      </c>
      <c r="J43" s="70">
        <v>0</v>
      </c>
      <c r="K43" s="53">
        <v>0</v>
      </c>
      <c r="L43" s="53">
        <v>0</v>
      </c>
      <c r="M43" s="115">
        <v>0</v>
      </c>
      <c r="N43" s="52">
        <f t="shared" si="11"/>
        <v>6100000</v>
      </c>
      <c r="O43" s="53">
        <v>0</v>
      </c>
      <c r="P43" s="53">
        <v>0</v>
      </c>
      <c r="Q43" s="53">
        <v>6100000</v>
      </c>
      <c r="R43" s="53">
        <v>0</v>
      </c>
      <c r="S43" s="70">
        <v>0</v>
      </c>
      <c r="T43" s="53">
        <v>0</v>
      </c>
      <c r="U43" s="53">
        <v>0</v>
      </c>
      <c r="V43" s="115">
        <v>0</v>
      </c>
      <c r="W43" s="116" t="s">
        <v>1186</v>
      </c>
    </row>
    <row r="44" spans="1:23" ht="28.5" customHeight="1">
      <c r="A44" s="6"/>
      <c r="B44" s="6"/>
      <c r="C44" s="6" t="s">
        <v>557</v>
      </c>
      <c r="D44" s="9" t="s">
        <v>558</v>
      </c>
      <c r="E44" s="52">
        <f t="shared" si="12"/>
        <v>10003644</v>
      </c>
      <c r="F44" s="53">
        <v>0</v>
      </c>
      <c r="G44" s="53">
        <v>0</v>
      </c>
      <c r="H44" s="53">
        <v>10003644</v>
      </c>
      <c r="I44" s="53">
        <v>0</v>
      </c>
      <c r="J44" s="70">
        <v>0</v>
      </c>
      <c r="K44" s="53">
        <v>0</v>
      </c>
      <c r="L44" s="53">
        <v>0</v>
      </c>
      <c r="M44" s="115">
        <v>0</v>
      </c>
      <c r="N44" s="52">
        <f t="shared" si="11"/>
        <v>10003644</v>
      </c>
      <c r="O44" s="53">
        <v>0</v>
      </c>
      <c r="P44" s="53">
        <v>0</v>
      </c>
      <c r="Q44" s="53">
        <v>10003644</v>
      </c>
      <c r="R44" s="53">
        <v>0</v>
      </c>
      <c r="S44" s="70">
        <v>0</v>
      </c>
      <c r="T44" s="53">
        <v>0</v>
      </c>
      <c r="U44" s="53">
        <v>0</v>
      </c>
      <c r="V44" s="115">
        <v>0</v>
      </c>
      <c r="W44" s="116" t="s">
        <v>1187</v>
      </c>
    </row>
    <row r="45" spans="1:23" ht="18">
      <c r="A45" s="6"/>
      <c r="B45" s="6"/>
      <c r="C45" s="6" t="s">
        <v>559</v>
      </c>
      <c r="D45" s="9" t="s">
        <v>560</v>
      </c>
      <c r="E45" s="52">
        <f t="shared" si="12"/>
        <v>6700000</v>
      </c>
      <c r="F45" s="53">
        <v>0</v>
      </c>
      <c r="G45" s="53">
        <v>0</v>
      </c>
      <c r="H45" s="53">
        <v>6700000</v>
      </c>
      <c r="I45" s="53">
        <v>0</v>
      </c>
      <c r="J45" s="70">
        <v>0</v>
      </c>
      <c r="K45" s="53">
        <v>0</v>
      </c>
      <c r="L45" s="53">
        <v>0</v>
      </c>
      <c r="M45" s="115">
        <v>0</v>
      </c>
      <c r="N45" s="52">
        <f t="shared" si="11"/>
        <v>6700000</v>
      </c>
      <c r="O45" s="53">
        <v>0</v>
      </c>
      <c r="P45" s="53">
        <v>0</v>
      </c>
      <c r="Q45" s="53">
        <v>6700000</v>
      </c>
      <c r="R45" s="53">
        <v>0</v>
      </c>
      <c r="S45" s="70">
        <v>0</v>
      </c>
      <c r="T45" s="53">
        <v>0</v>
      </c>
      <c r="U45" s="53">
        <v>0</v>
      </c>
      <c r="V45" s="115">
        <v>0</v>
      </c>
      <c r="W45" s="116" t="s">
        <v>1188</v>
      </c>
    </row>
    <row r="46" spans="1:23" ht="18">
      <c r="A46" s="6"/>
      <c r="B46" s="6"/>
      <c r="C46" s="6" t="s">
        <v>561</v>
      </c>
      <c r="D46" s="9" t="s">
        <v>992</v>
      </c>
      <c r="E46" s="52">
        <f t="shared" si="12"/>
        <v>5500000</v>
      </c>
      <c r="F46" s="53">
        <v>0</v>
      </c>
      <c r="G46" s="53">
        <v>0</v>
      </c>
      <c r="H46" s="53">
        <v>5500000</v>
      </c>
      <c r="I46" s="53">
        <v>0</v>
      </c>
      <c r="J46" s="70">
        <v>0</v>
      </c>
      <c r="K46" s="53">
        <v>0</v>
      </c>
      <c r="L46" s="53">
        <v>0</v>
      </c>
      <c r="M46" s="115">
        <v>0</v>
      </c>
      <c r="N46" s="52">
        <f t="shared" si="11"/>
        <v>5500000</v>
      </c>
      <c r="O46" s="53">
        <v>0</v>
      </c>
      <c r="P46" s="53">
        <v>0</v>
      </c>
      <c r="Q46" s="53">
        <v>5500000</v>
      </c>
      <c r="R46" s="53">
        <v>0</v>
      </c>
      <c r="S46" s="70">
        <v>0</v>
      </c>
      <c r="T46" s="53">
        <v>0</v>
      </c>
      <c r="U46" s="53">
        <v>0</v>
      </c>
      <c r="V46" s="115">
        <v>0</v>
      </c>
      <c r="W46" s="160">
        <v>57308</v>
      </c>
    </row>
    <row r="47" spans="1:23" ht="30">
      <c r="A47" s="6"/>
      <c r="B47" s="6"/>
      <c r="C47" s="6" t="s">
        <v>563</v>
      </c>
      <c r="D47" s="9" t="s">
        <v>562</v>
      </c>
      <c r="E47" s="52">
        <f t="shared" si="12"/>
        <v>1500000</v>
      </c>
      <c r="F47" s="53">
        <v>0</v>
      </c>
      <c r="G47" s="53">
        <v>0</v>
      </c>
      <c r="H47" s="53">
        <v>1500000</v>
      </c>
      <c r="I47" s="53">
        <v>0</v>
      </c>
      <c r="J47" s="70">
        <v>0</v>
      </c>
      <c r="K47" s="53">
        <v>0</v>
      </c>
      <c r="L47" s="53">
        <v>0</v>
      </c>
      <c r="M47" s="115">
        <v>0</v>
      </c>
      <c r="N47" s="52">
        <f t="shared" si="11"/>
        <v>1500000</v>
      </c>
      <c r="O47" s="53">
        <v>0</v>
      </c>
      <c r="P47" s="53">
        <v>0</v>
      </c>
      <c r="Q47" s="53">
        <v>1500000</v>
      </c>
      <c r="R47" s="53">
        <v>0</v>
      </c>
      <c r="S47" s="70">
        <v>0</v>
      </c>
      <c r="T47" s="53">
        <v>0</v>
      </c>
      <c r="U47" s="53">
        <v>0</v>
      </c>
      <c r="V47" s="115">
        <v>0</v>
      </c>
      <c r="W47" s="116" t="s">
        <v>1189</v>
      </c>
    </row>
    <row r="48" spans="1:23" ht="18">
      <c r="A48" s="6"/>
      <c r="B48" s="6"/>
      <c r="C48" s="6" t="s">
        <v>565</v>
      </c>
      <c r="D48" s="9" t="s">
        <v>757</v>
      </c>
      <c r="E48" s="52">
        <f t="shared" si="12"/>
        <v>90000</v>
      </c>
      <c r="F48" s="53">
        <v>0</v>
      </c>
      <c r="G48" s="53">
        <v>0</v>
      </c>
      <c r="H48" s="53">
        <v>90000</v>
      </c>
      <c r="I48" s="53">
        <v>0</v>
      </c>
      <c r="J48" s="70">
        <v>0</v>
      </c>
      <c r="K48" s="53">
        <v>0</v>
      </c>
      <c r="L48" s="53">
        <v>0</v>
      </c>
      <c r="M48" s="115">
        <v>0</v>
      </c>
      <c r="N48" s="52">
        <f t="shared" si="11"/>
        <v>90000</v>
      </c>
      <c r="O48" s="53">
        <v>0</v>
      </c>
      <c r="P48" s="53">
        <v>0</v>
      </c>
      <c r="Q48" s="53">
        <v>90000</v>
      </c>
      <c r="R48" s="53">
        <v>0</v>
      </c>
      <c r="S48" s="70">
        <v>0</v>
      </c>
      <c r="T48" s="53">
        <v>0</v>
      </c>
      <c r="U48" s="53">
        <v>0</v>
      </c>
      <c r="V48" s="115">
        <v>0</v>
      </c>
      <c r="W48" s="116" t="s">
        <v>1190</v>
      </c>
    </row>
    <row r="49" spans="1:23" ht="18">
      <c r="A49" s="6"/>
      <c r="B49" s="6"/>
      <c r="C49" s="6" t="s">
        <v>756</v>
      </c>
      <c r="D49" s="9" t="s">
        <v>564</v>
      </c>
      <c r="E49" s="52">
        <f t="shared" si="12"/>
        <v>10000</v>
      </c>
      <c r="F49" s="53">
        <v>0</v>
      </c>
      <c r="G49" s="53">
        <v>0</v>
      </c>
      <c r="H49" s="53">
        <v>10000</v>
      </c>
      <c r="I49" s="53">
        <v>0</v>
      </c>
      <c r="J49" s="70">
        <v>0</v>
      </c>
      <c r="K49" s="53">
        <v>0</v>
      </c>
      <c r="L49" s="53">
        <v>0</v>
      </c>
      <c r="M49" s="115">
        <v>0</v>
      </c>
      <c r="N49" s="52">
        <f t="shared" si="11"/>
        <v>10000</v>
      </c>
      <c r="O49" s="53">
        <v>0</v>
      </c>
      <c r="P49" s="53">
        <v>0</v>
      </c>
      <c r="Q49" s="53">
        <v>10000</v>
      </c>
      <c r="R49" s="53">
        <v>0</v>
      </c>
      <c r="S49" s="70">
        <v>0</v>
      </c>
      <c r="T49" s="53">
        <v>0</v>
      </c>
      <c r="U49" s="53">
        <v>0</v>
      </c>
      <c r="V49" s="115">
        <v>0</v>
      </c>
      <c r="W49" s="116" t="s">
        <v>1191</v>
      </c>
    </row>
    <row r="50" spans="1:23" ht="18">
      <c r="A50" s="6"/>
      <c r="B50" s="6"/>
      <c r="C50" s="6" t="s">
        <v>964</v>
      </c>
      <c r="D50" s="9" t="s">
        <v>566</v>
      </c>
      <c r="E50" s="52">
        <f t="shared" si="12"/>
        <v>50000</v>
      </c>
      <c r="F50" s="53">
        <v>0</v>
      </c>
      <c r="G50" s="53">
        <v>0</v>
      </c>
      <c r="H50" s="53">
        <v>50000</v>
      </c>
      <c r="I50" s="53">
        <v>0</v>
      </c>
      <c r="J50" s="70">
        <v>0</v>
      </c>
      <c r="K50" s="53">
        <v>0</v>
      </c>
      <c r="L50" s="53">
        <v>0</v>
      </c>
      <c r="M50" s="115">
        <v>0</v>
      </c>
      <c r="N50" s="52">
        <f t="shared" si="11"/>
        <v>50000</v>
      </c>
      <c r="O50" s="53">
        <v>0</v>
      </c>
      <c r="P50" s="53">
        <v>0</v>
      </c>
      <c r="Q50" s="53">
        <v>50000</v>
      </c>
      <c r="R50" s="53">
        <v>0</v>
      </c>
      <c r="S50" s="70">
        <v>0</v>
      </c>
      <c r="T50" s="53">
        <v>0</v>
      </c>
      <c r="U50" s="53">
        <v>0</v>
      </c>
      <c r="V50" s="115">
        <v>0</v>
      </c>
      <c r="W50" s="116" t="s">
        <v>1192</v>
      </c>
    </row>
    <row r="51" spans="1:23" ht="18">
      <c r="A51" s="6" t="s">
        <v>118</v>
      </c>
      <c r="B51" s="6"/>
      <c r="C51" s="6"/>
      <c r="D51" s="41" t="s">
        <v>43</v>
      </c>
      <c r="E51" s="10">
        <f t="shared" si="12"/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64">
        <v>0</v>
      </c>
      <c r="N51" s="10">
        <f t="shared" si="11"/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64">
        <v>0</v>
      </c>
      <c r="W51" s="120"/>
    </row>
    <row r="52" spans="1:23" ht="27.75" customHeight="1">
      <c r="A52" s="513" t="s">
        <v>286</v>
      </c>
      <c r="B52" s="514"/>
      <c r="C52" s="514"/>
      <c r="D52" s="515"/>
      <c r="E52" s="10">
        <f t="shared" si="12"/>
        <v>3264053644</v>
      </c>
      <c r="F52" s="58">
        <f aca="true" t="shared" si="15" ref="F52:M52">F10+F25+F51</f>
        <v>0</v>
      </c>
      <c r="G52" s="58">
        <f t="shared" si="15"/>
        <v>0</v>
      </c>
      <c r="H52" s="58">
        <f t="shared" si="15"/>
        <v>29953644</v>
      </c>
      <c r="I52" s="58">
        <f t="shared" si="15"/>
        <v>0</v>
      </c>
      <c r="J52" s="58">
        <f t="shared" si="15"/>
        <v>2980400000</v>
      </c>
      <c r="K52" s="58">
        <f t="shared" si="15"/>
        <v>0</v>
      </c>
      <c r="L52" s="58">
        <f t="shared" si="15"/>
        <v>0</v>
      </c>
      <c r="M52" s="64">
        <f t="shared" si="15"/>
        <v>253700000</v>
      </c>
      <c r="N52" s="10">
        <f t="shared" si="11"/>
        <v>3215315194</v>
      </c>
      <c r="O52" s="58">
        <f aca="true" t="shared" si="16" ref="O52:V52">O10+O25+O51</f>
        <v>0</v>
      </c>
      <c r="P52" s="58">
        <f t="shared" si="16"/>
        <v>0</v>
      </c>
      <c r="Q52" s="58">
        <f t="shared" si="16"/>
        <v>29953644</v>
      </c>
      <c r="R52" s="58">
        <f t="shared" si="16"/>
        <v>0</v>
      </c>
      <c r="S52" s="58">
        <f t="shared" si="16"/>
        <v>2915611221</v>
      </c>
      <c r="T52" s="58">
        <f t="shared" si="16"/>
        <v>0</v>
      </c>
      <c r="U52" s="58">
        <f t="shared" si="16"/>
        <v>0</v>
      </c>
      <c r="V52" s="64">
        <f t="shared" si="16"/>
        <v>269750329</v>
      </c>
      <c r="W52" s="120"/>
    </row>
    <row r="54" ht="12.75" hidden="1"/>
    <row r="55" s="65" customFormat="1" ht="12.75">
      <c r="D55" s="85"/>
    </row>
    <row r="56" s="65" customFormat="1" ht="12.75">
      <c r="D56" s="85"/>
    </row>
    <row r="57" s="65" customFormat="1" ht="12.75"/>
    <row r="58" s="65" customFormat="1" ht="12.75"/>
    <row r="59" s="65" customFormat="1" ht="12.75"/>
  </sheetData>
  <sheetProtection selectLockedCells="1" selectUnlockedCells="1"/>
  <mergeCells count="18">
    <mergeCell ref="A2:W2"/>
    <mergeCell ref="A52:D52"/>
    <mergeCell ref="B7:B9"/>
    <mergeCell ref="F7:M7"/>
    <mergeCell ref="C7:C9"/>
    <mergeCell ref="D7:D9"/>
    <mergeCell ref="E7:E9"/>
    <mergeCell ref="K8:M8"/>
    <mergeCell ref="A1:W1"/>
    <mergeCell ref="A3:W3"/>
    <mergeCell ref="A4:W4"/>
    <mergeCell ref="A7:A9"/>
    <mergeCell ref="N7:N9"/>
    <mergeCell ref="T8:V8"/>
    <mergeCell ref="O7:V7"/>
    <mergeCell ref="W7:W10"/>
    <mergeCell ref="O8:S8"/>
    <mergeCell ref="F8:J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600" verticalDpi="600" orientation="landscape" paperSize="9" scale="3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42"/>
  <sheetViews>
    <sheetView view="pageBreakPreview" zoomScale="70" zoomScaleNormal="71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V1"/>
    </sheetView>
  </sheetViews>
  <sheetFormatPr defaultColWidth="9.140625" defaultRowHeight="12.75"/>
  <cols>
    <col min="1" max="1" width="7.57421875" style="0" customWidth="1"/>
    <col min="2" max="2" width="11.8515625" style="0" customWidth="1"/>
    <col min="3" max="3" width="48.8515625" style="0" customWidth="1"/>
    <col min="4" max="4" width="19.8515625" style="0" customWidth="1"/>
    <col min="5" max="6" width="14.57421875" style="0" customWidth="1"/>
    <col min="7" max="7" width="18.421875" style="0" customWidth="1"/>
    <col min="8" max="8" width="17.421875" style="0" customWidth="1"/>
    <col min="9" max="9" width="19.57421875" style="0" customWidth="1"/>
    <col min="10" max="10" width="19.140625" style="0" customWidth="1"/>
    <col min="11" max="12" width="14.57421875" style="0" customWidth="1"/>
    <col min="13" max="13" width="19.8515625" style="0" customWidth="1"/>
    <col min="14" max="15" width="14.57421875" style="0" customWidth="1"/>
    <col min="16" max="16" width="18.421875" style="0" customWidth="1"/>
    <col min="17" max="17" width="17.421875" style="0" customWidth="1"/>
    <col min="18" max="18" width="19.57421875" style="0" customWidth="1"/>
    <col min="19" max="19" width="19.140625" style="0" customWidth="1"/>
    <col min="20" max="21" width="14.57421875" style="0" customWidth="1"/>
    <col min="22" max="22" width="18.7109375" style="0" customWidth="1"/>
  </cols>
  <sheetData>
    <row r="1" spans="1:22" ht="18">
      <c r="A1" s="431" t="s">
        <v>1550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</row>
    <row r="2" spans="1:22" ht="15" customHeight="1">
      <c r="A2" s="500" t="s">
        <v>1523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</row>
    <row r="3" spans="1:22" ht="18" customHeight="1">
      <c r="A3" s="423" t="s">
        <v>567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</row>
    <row r="4" spans="1:22" ht="18">
      <c r="A4" s="497" t="s">
        <v>568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V5" s="111" t="s">
        <v>0</v>
      </c>
    </row>
    <row r="6" spans="1:22" ht="15" customHeight="1">
      <c r="A6" s="144" t="s">
        <v>1</v>
      </c>
      <c r="B6" s="144" t="s">
        <v>2</v>
      </c>
      <c r="C6" s="144" t="s">
        <v>3</v>
      </c>
      <c r="D6" s="144" t="s">
        <v>4</v>
      </c>
      <c r="E6" s="144" t="s">
        <v>5</v>
      </c>
      <c r="F6" s="144" t="s">
        <v>6</v>
      </c>
      <c r="G6" s="144" t="s">
        <v>7</v>
      </c>
      <c r="H6" s="144" t="s">
        <v>8</v>
      </c>
      <c r="I6" s="144" t="s">
        <v>9</v>
      </c>
      <c r="J6" s="145" t="s">
        <v>10</v>
      </c>
      <c r="K6" s="144" t="s">
        <v>11</v>
      </c>
      <c r="L6" s="146" t="s">
        <v>12</v>
      </c>
      <c r="M6" s="146" t="s">
        <v>13</v>
      </c>
      <c r="N6" s="144" t="s">
        <v>14</v>
      </c>
      <c r="O6" s="144" t="s">
        <v>15</v>
      </c>
      <c r="P6" s="144" t="s">
        <v>16</v>
      </c>
      <c r="Q6" s="144" t="s">
        <v>17</v>
      </c>
      <c r="R6" s="144" t="s">
        <v>18</v>
      </c>
      <c r="S6" s="145" t="s">
        <v>19</v>
      </c>
      <c r="T6" s="144" t="s">
        <v>20</v>
      </c>
      <c r="U6" s="146" t="s">
        <v>21</v>
      </c>
      <c r="V6" s="127" t="s">
        <v>179</v>
      </c>
    </row>
    <row r="7" spans="1:22" ht="12.75" customHeight="1">
      <c r="A7" s="413" t="s">
        <v>23</v>
      </c>
      <c r="B7" s="413" t="s">
        <v>183</v>
      </c>
      <c r="C7" s="406" t="s">
        <v>24</v>
      </c>
      <c r="D7" s="406" t="s">
        <v>1262</v>
      </c>
      <c r="E7" s="455" t="s">
        <v>25</v>
      </c>
      <c r="F7" s="455"/>
      <c r="G7" s="455"/>
      <c r="H7" s="455"/>
      <c r="I7" s="455"/>
      <c r="J7" s="455"/>
      <c r="K7" s="455"/>
      <c r="L7" s="456"/>
      <c r="M7" s="455" t="s">
        <v>1467</v>
      </c>
      <c r="N7" s="455" t="s">
        <v>1466</v>
      </c>
      <c r="O7" s="455"/>
      <c r="P7" s="455"/>
      <c r="Q7" s="455"/>
      <c r="R7" s="455"/>
      <c r="S7" s="455"/>
      <c r="T7" s="455"/>
      <c r="U7" s="455"/>
      <c r="V7" s="462" t="s">
        <v>1012</v>
      </c>
    </row>
    <row r="8" spans="1:22" ht="12.75" customHeight="1">
      <c r="A8" s="413"/>
      <c r="B8" s="413"/>
      <c r="C8" s="406"/>
      <c r="D8" s="406"/>
      <c r="E8" s="405" t="s">
        <v>26</v>
      </c>
      <c r="F8" s="405"/>
      <c r="G8" s="405"/>
      <c r="H8" s="405"/>
      <c r="I8" s="405"/>
      <c r="J8" s="405" t="s">
        <v>27</v>
      </c>
      <c r="K8" s="405"/>
      <c r="L8" s="457"/>
      <c r="M8" s="455"/>
      <c r="N8" s="501" t="s">
        <v>26</v>
      </c>
      <c r="O8" s="501"/>
      <c r="P8" s="501"/>
      <c r="Q8" s="501"/>
      <c r="R8" s="501"/>
      <c r="S8" s="501" t="s">
        <v>27</v>
      </c>
      <c r="T8" s="501"/>
      <c r="U8" s="501"/>
      <c r="V8" s="462"/>
    </row>
    <row r="9" spans="1:22" ht="97.5" customHeight="1">
      <c r="A9" s="413"/>
      <c r="B9" s="413"/>
      <c r="C9" s="406"/>
      <c r="D9" s="406"/>
      <c r="E9" s="5" t="s">
        <v>28</v>
      </c>
      <c r="F9" s="5" t="s">
        <v>29</v>
      </c>
      <c r="G9" s="5" t="s">
        <v>30</v>
      </c>
      <c r="H9" s="5" t="s">
        <v>31</v>
      </c>
      <c r="I9" s="5" t="s">
        <v>32</v>
      </c>
      <c r="J9" s="5" t="s">
        <v>33</v>
      </c>
      <c r="K9" s="5" t="s">
        <v>34</v>
      </c>
      <c r="L9" s="114" t="s">
        <v>35</v>
      </c>
      <c r="M9" s="455"/>
      <c r="N9" s="40" t="s">
        <v>28</v>
      </c>
      <c r="O9" s="40" t="s">
        <v>29</v>
      </c>
      <c r="P9" s="40" t="s">
        <v>30</v>
      </c>
      <c r="Q9" s="40" t="s">
        <v>31</v>
      </c>
      <c r="R9" s="40" t="s">
        <v>32</v>
      </c>
      <c r="S9" s="40" t="s">
        <v>33</v>
      </c>
      <c r="T9" s="40" t="s">
        <v>34</v>
      </c>
      <c r="U9" s="40" t="s">
        <v>35</v>
      </c>
      <c r="V9" s="462"/>
    </row>
    <row r="10" spans="1:22" ht="18">
      <c r="A10" s="6" t="s">
        <v>141</v>
      </c>
      <c r="B10" s="6"/>
      <c r="C10" s="41" t="s">
        <v>39</v>
      </c>
      <c r="D10" s="10">
        <f>SUM(E10:L10)</f>
        <v>7472969682</v>
      </c>
      <c r="E10" s="58">
        <f>SUM(E11:E33)</f>
        <v>43157988</v>
      </c>
      <c r="F10" s="58">
        <f aca="true" t="shared" si="0" ref="F10:L10">SUM(F11:F33)</f>
        <v>8776927</v>
      </c>
      <c r="G10" s="58">
        <f t="shared" si="0"/>
        <v>3572066084</v>
      </c>
      <c r="H10" s="58">
        <f t="shared" si="0"/>
        <v>0</v>
      </c>
      <c r="I10" s="58">
        <f t="shared" si="0"/>
        <v>3848968683</v>
      </c>
      <c r="J10" s="58">
        <f t="shared" si="0"/>
        <v>0</v>
      </c>
      <c r="K10" s="58">
        <f t="shared" si="0"/>
        <v>0</v>
      </c>
      <c r="L10" s="58">
        <f t="shared" si="0"/>
        <v>0</v>
      </c>
      <c r="M10" s="10">
        <f>SUM(N10:U10)</f>
        <v>7621682927</v>
      </c>
      <c r="N10" s="58">
        <f>SUM(N11:N33)</f>
        <v>44338936</v>
      </c>
      <c r="O10" s="58">
        <f aca="true" t="shared" si="1" ref="O10:U10">SUM(O11:O33)</f>
        <v>9106171</v>
      </c>
      <c r="P10" s="58">
        <f t="shared" si="1"/>
        <v>3580575946</v>
      </c>
      <c r="Q10" s="58">
        <f t="shared" si="1"/>
        <v>0</v>
      </c>
      <c r="R10" s="58">
        <f t="shared" si="1"/>
        <v>3987651874</v>
      </c>
      <c r="S10" s="58">
        <f t="shared" si="1"/>
        <v>10000</v>
      </c>
      <c r="T10" s="58">
        <f t="shared" si="1"/>
        <v>0</v>
      </c>
      <c r="U10" s="58">
        <f t="shared" si="1"/>
        <v>0</v>
      </c>
      <c r="V10" s="462"/>
    </row>
    <row r="11" spans="1:22" ht="18">
      <c r="A11" s="6"/>
      <c r="B11" s="6" t="s">
        <v>569</v>
      </c>
      <c r="C11" s="67" t="s">
        <v>999</v>
      </c>
      <c r="D11" s="52">
        <f aca="true" t="shared" si="2" ref="D11:D37">SUM(E11:L11)</f>
        <v>37000000</v>
      </c>
      <c r="E11" s="53">
        <v>0</v>
      </c>
      <c r="F11" s="53">
        <v>0</v>
      </c>
      <c r="G11" s="53">
        <v>37000000</v>
      </c>
      <c r="H11" s="53">
        <v>0</v>
      </c>
      <c r="I11" s="53">
        <v>0</v>
      </c>
      <c r="J11" s="53">
        <v>0</v>
      </c>
      <c r="K11" s="53">
        <v>0</v>
      </c>
      <c r="L11" s="115">
        <v>0</v>
      </c>
      <c r="M11" s="52">
        <f aca="true" t="shared" si="3" ref="M11:M35">SUM(N11:U11)</f>
        <v>32000000</v>
      </c>
      <c r="N11" s="53">
        <v>0</v>
      </c>
      <c r="O11" s="53">
        <v>0</v>
      </c>
      <c r="P11" s="53">
        <v>32000000</v>
      </c>
      <c r="Q11" s="53">
        <v>0</v>
      </c>
      <c r="R11" s="53">
        <v>0</v>
      </c>
      <c r="S11" s="53">
        <v>0</v>
      </c>
      <c r="T11" s="53">
        <v>0</v>
      </c>
      <c r="U11" s="115">
        <v>0</v>
      </c>
      <c r="V11" s="140" t="s">
        <v>1193</v>
      </c>
    </row>
    <row r="12" spans="1:22" ht="18">
      <c r="A12" s="6"/>
      <c r="B12" s="6" t="s">
        <v>570</v>
      </c>
      <c r="C12" s="67" t="s">
        <v>571</v>
      </c>
      <c r="D12" s="52">
        <f t="shared" si="2"/>
        <v>60000000</v>
      </c>
      <c r="E12" s="53">
        <v>0</v>
      </c>
      <c r="F12" s="53">
        <v>0</v>
      </c>
      <c r="G12" s="53">
        <v>60000000</v>
      </c>
      <c r="H12" s="53">
        <v>0</v>
      </c>
      <c r="I12" s="53">
        <v>0</v>
      </c>
      <c r="J12" s="53">
        <v>0</v>
      </c>
      <c r="K12" s="53">
        <v>0</v>
      </c>
      <c r="L12" s="115">
        <v>0</v>
      </c>
      <c r="M12" s="52">
        <f t="shared" si="3"/>
        <v>50003396</v>
      </c>
      <c r="N12" s="53">
        <v>0</v>
      </c>
      <c r="O12" s="53">
        <v>0</v>
      </c>
      <c r="P12" s="53">
        <v>50003396</v>
      </c>
      <c r="Q12" s="53">
        <v>0</v>
      </c>
      <c r="R12" s="53">
        <v>0</v>
      </c>
      <c r="S12" s="53">
        <v>0</v>
      </c>
      <c r="T12" s="53">
        <v>0</v>
      </c>
      <c r="U12" s="115">
        <v>0</v>
      </c>
      <c r="V12" s="140">
        <v>58102</v>
      </c>
    </row>
    <row r="13" spans="1:22" ht="18">
      <c r="A13" s="6"/>
      <c r="B13" s="6" t="s">
        <v>572</v>
      </c>
      <c r="C13" s="67" t="s">
        <v>573</v>
      </c>
      <c r="D13" s="52">
        <f t="shared" si="2"/>
        <v>1996409064</v>
      </c>
      <c r="E13" s="53">
        <v>0</v>
      </c>
      <c r="F13" s="53">
        <v>0</v>
      </c>
      <c r="G13" s="53">
        <f>1641970691+381677373-27239000</f>
        <v>1996409064</v>
      </c>
      <c r="H13" s="53">
        <v>0</v>
      </c>
      <c r="I13" s="53">
        <v>0</v>
      </c>
      <c r="J13" s="53">
        <v>0</v>
      </c>
      <c r="K13" s="53">
        <v>0</v>
      </c>
      <c r="L13" s="115">
        <v>0</v>
      </c>
      <c r="M13" s="52">
        <f t="shared" si="3"/>
        <v>1986409064</v>
      </c>
      <c r="N13" s="53">
        <v>0</v>
      </c>
      <c r="O13" s="53">
        <v>0</v>
      </c>
      <c r="P13" s="53">
        <v>1986409064</v>
      </c>
      <c r="Q13" s="53">
        <v>0</v>
      </c>
      <c r="R13" s="53">
        <v>0</v>
      </c>
      <c r="S13" s="53">
        <v>0</v>
      </c>
      <c r="T13" s="53">
        <v>0</v>
      </c>
      <c r="U13" s="115">
        <v>0</v>
      </c>
      <c r="V13" s="140" t="s">
        <v>1194</v>
      </c>
    </row>
    <row r="14" spans="1:22" ht="18">
      <c r="A14" s="6"/>
      <c r="B14" s="6" t="s">
        <v>574</v>
      </c>
      <c r="C14" s="9" t="s">
        <v>567</v>
      </c>
      <c r="D14" s="52">
        <f t="shared" si="2"/>
        <v>33000000</v>
      </c>
      <c r="E14" s="53">
        <v>0</v>
      </c>
      <c r="F14" s="53">
        <v>0</v>
      </c>
      <c r="G14" s="53">
        <v>33000000</v>
      </c>
      <c r="H14" s="53">
        <v>0</v>
      </c>
      <c r="I14" s="53">
        <v>0</v>
      </c>
      <c r="J14" s="53">
        <v>0</v>
      </c>
      <c r="K14" s="53">
        <v>0</v>
      </c>
      <c r="L14" s="115">
        <v>0</v>
      </c>
      <c r="M14" s="52">
        <f t="shared" si="3"/>
        <v>90661808</v>
      </c>
      <c r="N14" s="53">
        <v>0</v>
      </c>
      <c r="O14" s="53">
        <v>0</v>
      </c>
      <c r="P14" s="53">
        <v>90661808</v>
      </c>
      <c r="Q14" s="53">
        <v>0</v>
      </c>
      <c r="R14" s="53">
        <v>0</v>
      </c>
      <c r="S14" s="53">
        <v>0</v>
      </c>
      <c r="T14" s="53">
        <v>0</v>
      </c>
      <c r="U14" s="115">
        <v>0</v>
      </c>
      <c r="V14" s="140" t="s">
        <v>1195</v>
      </c>
    </row>
    <row r="15" spans="1:22" ht="18">
      <c r="A15" s="6"/>
      <c r="B15" s="6" t="s">
        <v>575</v>
      </c>
      <c r="C15" s="9" t="s">
        <v>576</v>
      </c>
      <c r="D15" s="52">
        <f t="shared" si="2"/>
        <v>55757822</v>
      </c>
      <c r="E15" s="53">
        <v>29349185</v>
      </c>
      <c r="F15" s="53">
        <v>5416637</v>
      </c>
      <c r="G15" s="53">
        <v>20992000</v>
      </c>
      <c r="H15" s="53">
        <v>0</v>
      </c>
      <c r="I15" s="53">
        <v>0</v>
      </c>
      <c r="J15" s="53">
        <v>0</v>
      </c>
      <c r="K15" s="53">
        <v>0</v>
      </c>
      <c r="L15" s="115">
        <v>0</v>
      </c>
      <c r="M15" s="52">
        <f t="shared" si="3"/>
        <v>62518014</v>
      </c>
      <c r="N15" s="53">
        <v>35530133</v>
      </c>
      <c r="O15" s="53">
        <v>5745881</v>
      </c>
      <c r="P15" s="53">
        <v>21242000</v>
      </c>
      <c r="Q15" s="53">
        <v>0</v>
      </c>
      <c r="R15" s="53">
        <v>0</v>
      </c>
      <c r="S15" s="53">
        <v>0</v>
      </c>
      <c r="T15" s="53">
        <v>0</v>
      </c>
      <c r="U15" s="115">
        <v>0</v>
      </c>
      <c r="V15" s="140" t="s">
        <v>1196</v>
      </c>
    </row>
    <row r="16" spans="1:22" ht="30">
      <c r="A16" s="6"/>
      <c r="B16" s="6" t="s">
        <v>577</v>
      </c>
      <c r="C16" s="67" t="s">
        <v>1267</v>
      </c>
      <c r="D16" s="52">
        <f t="shared" si="2"/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115">
        <v>0</v>
      </c>
      <c r="M16" s="52">
        <f t="shared" si="3"/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115">
        <v>0</v>
      </c>
      <c r="V16" s="140" t="s">
        <v>1197</v>
      </c>
    </row>
    <row r="17" spans="1:22" ht="45">
      <c r="A17" s="6"/>
      <c r="B17" s="6" t="s">
        <v>578</v>
      </c>
      <c r="C17" s="67" t="s">
        <v>1268</v>
      </c>
      <c r="D17" s="52">
        <f t="shared" si="2"/>
        <v>150000000</v>
      </c>
      <c r="E17" s="53">
        <v>0</v>
      </c>
      <c r="F17" s="53">
        <v>0</v>
      </c>
      <c r="G17" s="53">
        <v>0</v>
      </c>
      <c r="H17" s="53">
        <v>0</v>
      </c>
      <c r="I17" s="53">
        <v>150000000</v>
      </c>
      <c r="J17" s="53">
        <v>0</v>
      </c>
      <c r="K17" s="53">
        <v>0</v>
      </c>
      <c r="L17" s="115">
        <v>0</v>
      </c>
      <c r="M17" s="52">
        <f t="shared" si="3"/>
        <v>150000000</v>
      </c>
      <c r="N17" s="53">
        <v>0</v>
      </c>
      <c r="O17" s="53">
        <v>0</v>
      </c>
      <c r="P17" s="53">
        <v>0</v>
      </c>
      <c r="Q17" s="53">
        <v>0</v>
      </c>
      <c r="R17" s="53">
        <v>150000000</v>
      </c>
      <c r="S17" s="53">
        <v>0</v>
      </c>
      <c r="T17" s="53">
        <v>0</v>
      </c>
      <c r="U17" s="115">
        <v>0</v>
      </c>
      <c r="V17" s="140" t="s">
        <v>1198</v>
      </c>
    </row>
    <row r="18" spans="1:22" ht="27.75" customHeight="1">
      <c r="A18" s="6"/>
      <c r="B18" s="6" t="s">
        <v>579</v>
      </c>
      <c r="C18" s="67" t="s">
        <v>969</v>
      </c>
      <c r="D18" s="52">
        <f t="shared" si="2"/>
        <v>2400000000</v>
      </c>
      <c r="E18" s="53">
        <v>0</v>
      </c>
      <c r="F18" s="53">
        <v>0</v>
      </c>
      <c r="G18" s="53">
        <v>0</v>
      </c>
      <c r="H18" s="53">
        <v>0</v>
      </c>
      <c r="I18" s="53">
        <v>2400000000</v>
      </c>
      <c r="J18" s="53">
        <v>0</v>
      </c>
      <c r="K18" s="53">
        <v>0</v>
      </c>
      <c r="L18" s="115">
        <v>0</v>
      </c>
      <c r="M18" s="52">
        <f t="shared" si="3"/>
        <v>2400000000</v>
      </c>
      <c r="N18" s="53">
        <v>0</v>
      </c>
      <c r="O18" s="53">
        <v>0</v>
      </c>
      <c r="P18" s="53">
        <v>0</v>
      </c>
      <c r="Q18" s="53">
        <v>0</v>
      </c>
      <c r="R18" s="53">
        <v>2400000000</v>
      </c>
      <c r="S18" s="53">
        <v>0</v>
      </c>
      <c r="T18" s="53">
        <v>0</v>
      </c>
      <c r="U18" s="115">
        <v>0</v>
      </c>
      <c r="V18" s="140" t="s">
        <v>1199</v>
      </c>
    </row>
    <row r="19" spans="1:22" ht="18">
      <c r="A19" s="6"/>
      <c r="B19" s="6" t="s">
        <v>580</v>
      </c>
      <c r="C19" s="67" t="s">
        <v>581</v>
      </c>
      <c r="D19" s="52">
        <f t="shared" si="2"/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115">
        <v>0</v>
      </c>
      <c r="M19" s="52">
        <f t="shared" si="3"/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115">
        <v>0</v>
      </c>
      <c r="V19" s="140" t="s">
        <v>1200</v>
      </c>
    </row>
    <row r="20" spans="1:22" ht="18">
      <c r="A20" s="6"/>
      <c r="B20" s="6" t="s">
        <v>582</v>
      </c>
      <c r="C20" s="67" t="s">
        <v>583</v>
      </c>
      <c r="D20" s="52">
        <f t="shared" si="2"/>
        <v>22169093</v>
      </c>
      <c r="E20" s="53">
        <v>13808803</v>
      </c>
      <c r="F20" s="53">
        <v>3360290</v>
      </c>
      <c r="G20" s="53">
        <v>5000000</v>
      </c>
      <c r="H20" s="53">
        <v>0</v>
      </c>
      <c r="I20" s="53">
        <v>0</v>
      </c>
      <c r="J20" s="53">
        <v>0</v>
      </c>
      <c r="K20" s="53">
        <v>0</v>
      </c>
      <c r="L20" s="115">
        <v>0</v>
      </c>
      <c r="M20" s="52">
        <f t="shared" si="3"/>
        <v>17169093</v>
      </c>
      <c r="N20" s="53">
        <v>8808803</v>
      </c>
      <c r="O20" s="53">
        <v>3360290</v>
      </c>
      <c r="P20" s="53">
        <v>5000000</v>
      </c>
      <c r="Q20" s="53">
        <v>0</v>
      </c>
      <c r="R20" s="53">
        <v>0</v>
      </c>
      <c r="S20" s="53">
        <v>0</v>
      </c>
      <c r="T20" s="53">
        <v>0</v>
      </c>
      <c r="U20" s="115">
        <v>0</v>
      </c>
      <c r="V20" s="140" t="s">
        <v>1201</v>
      </c>
    </row>
    <row r="21" spans="1:22" ht="18">
      <c r="A21" s="6"/>
      <c r="B21" s="6" t="s">
        <v>584</v>
      </c>
      <c r="C21" s="67" t="s">
        <v>585</v>
      </c>
      <c r="D21" s="52">
        <f t="shared" si="2"/>
        <v>53141000</v>
      </c>
      <c r="E21" s="53">
        <v>0</v>
      </c>
      <c r="F21" s="53">
        <v>0</v>
      </c>
      <c r="G21" s="53">
        <v>20000000</v>
      </c>
      <c r="H21" s="53">
        <v>0</v>
      </c>
      <c r="I21" s="53">
        <v>33141000</v>
      </c>
      <c r="J21" s="53">
        <v>0</v>
      </c>
      <c r="K21" s="53">
        <v>0</v>
      </c>
      <c r="L21" s="115">
        <v>0</v>
      </c>
      <c r="M21" s="52">
        <f t="shared" si="3"/>
        <v>3186191</v>
      </c>
      <c r="N21" s="53">
        <v>0</v>
      </c>
      <c r="O21" s="53">
        <v>0</v>
      </c>
      <c r="P21" s="53">
        <v>46158</v>
      </c>
      <c r="Q21" s="53">
        <v>0</v>
      </c>
      <c r="R21" s="53">
        <v>3140033</v>
      </c>
      <c r="S21" s="53">
        <v>0</v>
      </c>
      <c r="T21" s="53">
        <v>0</v>
      </c>
      <c r="U21" s="115">
        <v>0</v>
      </c>
      <c r="V21" s="140" t="s">
        <v>1202</v>
      </c>
    </row>
    <row r="22" spans="1:22" ht="18">
      <c r="A22" s="6"/>
      <c r="B22" s="6" t="s">
        <v>586</v>
      </c>
      <c r="C22" s="67" t="s">
        <v>587</v>
      </c>
      <c r="D22" s="52">
        <f t="shared" si="2"/>
        <v>35000000</v>
      </c>
      <c r="E22" s="53">
        <v>0</v>
      </c>
      <c r="F22" s="53">
        <v>0</v>
      </c>
      <c r="G22" s="53">
        <v>35000000</v>
      </c>
      <c r="H22" s="53">
        <v>0</v>
      </c>
      <c r="I22" s="53">
        <v>0</v>
      </c>
      <c r="J22" s="53">
        <v>0</v>
      </c>
      <c r="K22" s="53">
        <v>0</v>
      </c>
      <c r="L22" s="115">
        <v>0</v>
      </c>
      <c r="M22" s="52">
        <f t="shared" si="3"/>
        <v>30000000</v>
      </c>
      <c r="N22" s="53">
        <v>0</v>
      </c>
      <c r="O22" s="53">
        <v>0</v>
      </c>
      <c r="P22" s="53">
        <v>30000000</v>
      </c>
      <c r="Q22" s="53">
        <v>0</v>
      </c>
      <c r="R22" s="53">
        <v>0</v>
      </c>
      <c r="S22" s="53">
        <v>0</v>
      </c>
      <c r="T22" s="53">
        <v>0</v>
      </c>
      <c r="U22" s="115">
        <v>0</v>
      </c>
      <c r="V22" s="140" t="s">
        <v>1203</v>
      </c>
    </row>
    <row r="23" spans="1:22" ht="30">
      <c r="A23" s="6"/>
      <c r="B23" s="6" t="s">
        <v>588</v>
      </c>
      <c r="C23" s="67" t="s">
        <v>589</v>
      </c>
      <c r="D23" s="52">
        <f t="shared" si="2"/>
        <v>16163120</v>
      </c>
      <c r="E23" s="53">
        <v>0</v>
      </c>
      <c r="F23" s="53">
        <v>0</v>
      </c>
      <c r="G23" s="53">
        <v>16163120</v>
      </c>
      <c r="H23" s="53">
        <v>0</v>
      </c>
      <c r="I23" s="53">
        <v>0</v>
      </c>
      <c r="J23" s="53">
        <v>0</v>
      </c>
      <c r="K23" s="53">
        <v>0</v>
      </c>
      <c r="L23" s="115">
        <v>0</v>
      </c>
      <c r="M23" s="52">
        <f t="shared" si="3"/>
        <v>16163120</v>
      </c>
      <c r="N23" s="53">
        <v>0</v>
      </c>
      <c r="O23" s="53">
        <v>0</v>
      </c>
      <c r="P23" s="53">
        <v>16163120</v>
      </c>
      <c r="Q23" s="53">
        <v>0</v>
      </c>
      <c r="R23" s="53">
        <v>0</v>
      </c>
      <c r="S23" s="53">
        <v>0</v>
      </c>
      <c r="T23" s="53">
        <v>0</v>
      </c>
      <c r="U23" s="115">
        <v>0</v>
      </c>
      <c r="V23" s="140" t="s">
        <v>1204</v>
      </c>
    </row>
    <row r="24" spans="1:22" ht="34.5" customHeight="1">
      <c r="A24" s="6"/>
      <c r="B24" s="6" t="s">
        <v>590</v>
      </c>
      <c r="C24" s="9" t="s">
        <v>811</v>
      </c>
      <c r="D24" s="52">
        <f t="shared" si="2"/>
        <v>500000</v>
      </c>
      <c r="E24" s="53">
        <v>0</v>
      </c>
      <c r="F24" s="53">
        <v>0</v>
      </c>
      <c r="G24" s="53">
        <v>500000</v>
      </c>
      <c r="H24" s="53">
        <v>0</v>
      </c>
      <c r="I24" s="53">
        <v>0</v>
      </c>
      <c r="J24" s="53">
        <v>0</v>
      </c>
      <c r="K24" s="53">
        <v>0</v>
      </c>
      <c r="L24" s="115">
        <v>0</v>
      </c>
      <c r="M24" s="52">
        <f t="shared" si="3"/>
        <v>500000</v>
      </c>
      <c r="N24" s="53">
        <v>0</v>
      </c>
      <c r="O24" s="53">
        <v>0</v>
      </c>
      <c r="P24" s="53">
        <v>500000</v>
      </c>
      <c r="Q24" s="53">
        <v>0</v>
      </c>
      <c r="R24" s="53">
        <v>0</v>
      </c>
      <c r="S24" s="53">
        <v>0</v>
      </c>
      <c r="T24" s="53">
        <v>0</v>
      </c>
      <c r="U24" s="115">
        <v>0</v>
      </c>
      <c r="V24" s="140" t="s">
        <v>1205</v>
      </c>
    </row>
    <row r="25" spans="1:22" ht="30">
      <c r="A25" s="6"/>
      <c r="B25" s="6" t="s">
        <v>591</v>
      </c>
      <c r="C25" s="9" t="s">
        <v>593</v>
      </c>
      <c r="D25" s="52">
        <f t="shared" si="2"/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115">
        <v>0</v>
      </c>
      <c r="M25" s="52">
        <f t="shared" si="3"/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115">
        <v>0</v>
      </c>
      <c r="V25" s="140" t="s">
        <v>1207</v>
      </c>
    </row>
    <row r="26" spans="1:22" ht="18">
      <c r="A26" s="6"/>
      <c r="B26" s="6" t="s">
        <v>592</v>
      </c>
      <c r="C26" s="9" t="s">
        <v>595</v>
      </c>
      <c r="D26" s="52">
        <f t="shared" si="2"/>
        <v>1001900</v>
      </c>
      <c r="E26" s="53">
        <v>0</v>
      </c>
      <c r="F26" s="53">
        <v>0</v>
      </c>
      <c r="G26" s="53">
        <v>1001900</v>
      </c>
      <c r="H26" s="53">
        <v>0</v>
      </c>
      <c r="I26" s="53">
        <v>0</v>
      </c>
      <c r="J26" s="53">
        <v>0</v>
      </c>
      <c r="K26" s="53">
        <v>0</v>
      </c>
      <c r="L26" s="115">
        <v>0</v>
      </c>
      <c r="M26" s="52">
        <f t="shared" si="3"/>
        <v>1001900</v>
      </c>
      <c r="N26" s="53">
        <v>0</v>
      </c>
      <c r="O26" s="53">
        <v>0</v>
      </c>
      <c r="P26" s="53">
        <v>1001900</v>
      </c>
      <c r="Q26" s="53">
        <v>0</v>
      </c>
      <c r="R26" s="53">
        <v>0</v>
      </c>
      <c r="S26" s="53">
        <v>0</v>
      </c>
      <c r="T26" s="53">
        <v>0</v>
      </c>
      <c r="U26" s="115">
        <v>0</v>
      </c>
      <c r="V26" s="140" t="s">
        <v>1208</v>
      </c>
    </row>
    <row r="27" spans="1:22" ht="30">
      <c r="A27" s="6"/>
      <c r="B27" s="6" t="s">
        <v>594</v>
      </c>
      <c r="C27" s="9" t="s">
        <v>598</v>
      </c>
      <c r="D27" s="52">
        <f t="shared" si="2"/>
        <v>1000000</v>
      </c>
      <c r="E27" s="53">
        <v>0</v>
      </c>
      <c r="F27" s="53">
        <v>0</v>
      </c>
      <c r="G27" s="53">
        <v>1000000</v>
      </c>
      <c r="H27" s="53">
        <v>0</v>
      </c>
      <c r="I27" s="53">
        <v>0</v>
      </c>
      <c r="J27" s="53">
        <v>0</v>
      </c>
      <c r="K27" s="53">
        <v>0</v>
      </c>
      <c r="L27" s="115">
        <v>0</v>
      </c>
      <c r="M27" s="52">
        <f t="shared" si="3"/>
        <v>1000000</v>
      </c>
      <c r="N27" s="53">
        <v>0</v>
      </c>
      <c r="O27" s="53">
        <v>0</v>
      </c>
      <c r="P27" s="53">
        <v>1000000</v>
      </c>
      <c r="Q27" s="53">
        <v>0</v>
      </c>
      <c r="R27" s="53">
        <v>0</v>
      </c>
      <c r="S27" s="53">
        <v>0</v>
      </c>
      <c r="T27" s="53">
        <v>0</v>
      </c>
      <c r="U27" s="115">
        <v>0</v>
      </c>
      <c r="V27" s="140" t="s">
        <v>1209</v>
      </c>
    </row>
    <row r="28" spans="1:22" ht="30">
      <c r="A28" s="6"/>
      <c r="B28" s="6" t="s">
        <v>596</v>
      </c>
      <c r="C28" s="9" t="s">
        <v>600</v>
      </c>
      <c r="D28" s="52">
        <f t="shared" si="2"/>
        <v>585000000</v>
      </c>
      <c r="E28" s="53">
        <v>0</v>
      </c>
      <c r="F28" s="53">
        <v>0</v>
      </c>
      <c r="G28" s="53">
        <v>0</v>
      </c>
      <c r="H28" s="53">
        <v>0</v>
      </c>
      <c r="I28" s="53">
        <v>585000000</v>
      </c>
      <c r="J28" s="53">
        <v>0</v>
      </c>
      <c r="K28" s="53">
        <v>0</v>
      </c>
      <c r="L28" s="115">
        <v>0</v>
      </c>
      <c r="M28" s="52">
        <f t="shared" si="3"/>
        <v>859427000</v>
      </c>
      <c r="N28" s="53">
        <v>0</v>
      </c>
      <c r="O28" s="53">
        <v>0</v>
      </c>
      <c r="P28" s="53">
        <v>698500</v>
      </c>
      <c r="Q28" s="53">
        <v>0</v>
      </c>
      <c r="R28" s="53">
        <v>858718500</v>
      </c>
      <c r="S28" s="53">
        <v>10000</v>
      </c>
      <c r="T28" s="53">
        <v>0</v>
      </c>
      <c r="U28" s="115">
        <v>0</v>
      </c>
      <c r="V28" s="140" t="s">
        <v>1210</v>
      </c>
    </row>
    <row r="29" spans="1:22" ht="45">
      <c r="A29" s="6"/>
      <c r="B29" s="6" t="s">
        <v>597</v>
      </c>
      <c r="C29" s="9" t="s">
        <v>602</v>
      </c>
      <c r="D29" s="52">
        <f t="shared" si="2"/>
        <v>2000000</v>
      </c>
      <c r="E29" s="53">
        <v>0</v>
      </c>
      <c r="F29" s="53">
        <v>0</v>
      </c>
      <c r="G29" s="53">
        <v>2000000</v>
      </c>
      <c r="H29" s="53">
        <v>0</v>
      </c>
      <c r="I29" s="53">
        <v>0</v>
      </c>
      <c r="J29" s="53">
        <v>0</v>
      </c>
      <c r="K29" s="53">
        <v>0</v>
      </c>
      <c r="L29" s="115">
        <v>0</v>
      </c>
      <c r="M29" s="52">
        <f t="shared" si="3"/>
        <v>1850000</v>
      </c>
      <c r="N29" s="53">
        <v>0</v>
      </c>
      <c r="O29" s="53">
        <v>0</v>
      </c>
      <c r="P29" s="53">
        <v>1850000</v>
      </c>
      <c r="Q29" s="53">
        <v>0</v>
      </c>
      <c r="R29" s="53">
        <v>0</v>
      </c>
      <c r="S29" s="53">
        <v>0</v>
      </c>
      <c r="T29" s="53">
        <v>0</v>
      </c>
      <c r="U29" s="115">
        <v>0</v>
      </c>
      <c r="V29" s="140" t="s">
        <v>1211</v>
      </c>
    </row>
    <row r="30" spans="1:22" ht="30.75" customHeight="1">
      <c r="A30" s="6"/>
      <c r="B30" s="6" t="s">
        <v>599</v>
      </c>
      <c r="C30" s="9" t="s">
        <v>604</v>
      </c>
      <c r="D30" s="52">
        <f t="shared" si="2"/>
        <v>680827683</v>
      </c>
      <c r="E30" s="53">
        <v>0</v>
      </c>
      <c r="F30" s="53">
        <v>0</v>
      </c>
      <c r="G30" s="53">
        <v>0</v>
      </c>
      <c r="H30" s="53">
        <v>0</v>
      </c>
      <c r="I30" s="53">
        <v>680827683</v>
      </c>
      <c r="J30" s="53">
        <v>0</v>
      </c>
      <c r="K30" s="53">
        <v>0</v>
      </c>
      <c r="L30" s="115">
        <v>0</v>
      </c>
      <c r="M30" s="52">
        <f t="shared" si="3"/>
        <v>575793341</v>
      </c>
      <c r="N30" s="53">
        <v>0</v>
      </c>
      <c r="O30" s="53">
        <v>0</v>
      </c>
      <c r="P30" s="53">
        <v>0</v>
      </c>
      <c r="Q30" s="53">
        <v>0</v>
      </c>
      <c r="R30" s="53">
        <v>575793341</v>
      </c>
      <c r="S30" s="53">
        <v>0</v>
      </c>
      <c r="T30" s="53">
        <v>0</v>
      </c>
      <c r="U30" s="115">
        <v>0</v>
      </c>
      <c r="V30" s="140" t="s">
        <v>1212</v>
      </c>
    </row>
    <row r="31" spans="1:22" ht="22.5" customHeight="1">
      <c r="A31" s="6"/>
      <c r="B31" s="6" t="s">
        <v>601</v>
      </c>
      <c r="C31" s="9" t="s">
        <v>605</v>
      </c>
      <c r="D31" s="52">
        <f t="shared" si="2"/>
        <v>85000000</v>
      </c>
      <c r="E31" s="53">
        <v>0</v>
      </c>
      <c r="F31" s="53">
        <v>0</v>
      </c>
      <c r="G31" s="53">
        <v>85000000</v>
      </c>
      <c r="H31" s="53">
        <v>0</v>
      </c>
      <c r="I31" s="53">
        <v>0</v>
      </c>
      <c r="J31" s="53">
        <v>0</v>
      </c>
      <c r="K31" s="53">
        <v>0</v>
      </c>
      <c r="L31" s="115">
        <v>0</v>
      </c>
      <c r="M31" s="52">
        <f t="shared" si="3"/>
        <v>85000000</v>
      </c>
      <c r="N31" s="53">
        <v>0</v>
      </c>
      <c r="O31" s="53">
        <v>0</v>
      </c>
      <c r="P31" s="53">
        <v>85000000</v>
      </c>
      <c r="Q31" s="53">
        <v>0</v>
      </c>
      <c r="R31" s="53">
        <v>0</v>
      </c>
      <c r="S31" s="53">
        <v>0</v>
      </c>
      <c r="T31" s="53">
        <v>0</v>
      </c>
      <c r="U31" s="115">
        <v>0</v>
      </c>
      <c r="V31" s="140" t="s">
        <v>1213</v>
      </c>
    </row>
    <row r="32" spans="1:22" ht="32.25" customHeight="1">
      <c r="A32" s="6"/>
      <c r="B32" s="6" t="s">
        <v>603</v>
      </c>
      <c r="C32" s="109" t="s">
        <v>1009</v>
      </c>
      <c r="D32" s="52">
        <f t="shared" si="2"/>
        <v>1259000000</v>
      </c>
      <c r="E32" s="53">
        <v>0</v>
      </c>
      <c r="F32" s="53">
        <v>0</v>
      </c>
      <c r="G32" s="53">
        <v>1259000000</v>
      </c>
      <c r="H32" s="53">
        <v>0</v>
      </c>
      <c r="I32" s="53">
        <v>0</v>
      </c>
      <c r="J32" s="53">
        <v>0</v>
      </c>
      <c r="K32" s="53">
        <v>0</v>
      </c>
      <c r="L32" s="115">
        <v>0</v>
      </c>
      <c r="M32" s="52">
        <f t="shared" si="3"/>
        <v>1259000000</v>
      </c>
      <c r="N32" s="53">
        <v>0</v>
      </c>
      <c r="O32" s="53">
        <v>0</v>
      </c>
      <c r="P32" s="53">
        <v>1259000000</v>
      </c>
      <c r="Q32" s="53">
        <v>0</v>
      </c>
      <c r="R32" s="53">
        <v>0</v>
      </c>
      <c r="S32" s="53">
        <v>0</v>
      </c>
      <c r="T32" s="53">
        <v>0</v>
      </c>
      <c r="U32" s="115">
        <v>0</v>
      </c>
      <c r="V32" s="157">
        <v>58125</v>
      </c>
    </row>
    <row r="33" spans="1:22" ht="32.25" customHeight="1">
      <c r="A33" s="6"/>
      <c r="B33" s="6" t="s">
        <v>1469</v>
      </c>
      <c r="C33" s="338" t="s">
        <v>1470</v>
      </c>
      <c r="D33" s="52">
        <f t="shared" si="2"/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115">
        <v>0</v>
      </c>
      <c r="M33" s="52">
        <f t="shared" si="3"/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115">
        <v>0</v>
      </c>
      <c r="V33" s="157">
        <v>58127</v>
      </c>
    </row>
    <row r="34" spans="1:22" ht="18">
      <c r="A34" s="6" t="s">
        <v>142</v>
      </c>
      <c r="B34" s="6"/>
      <c r="C34" s="41" t="s">
        <v>41</v>
      </c>
      <c r="D34" s="10">
        <f t="shared" si="2"/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10">
        <f t="shared" si="3"/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140"/>
    </row>
    <row r="35" spans="1:22" ht="18">
      <c r="A35" s="6" t="s">
        <v>143</v>
      </c>
      <c r="B35" s="6"/>
      <c r="C35" s="41" t="s">
        <v>43</v>
      </c>
      <c r="D35" s="10">
        <f t="shared" si="2"/>
        <v>1000000</v>
      </c>
      <c r="E35" s="58">
        <f>SUM(E36)</f>
        <v>0</v>
      </c>
      <c r="F35" s="58">
        <f aca="true" t="shared" si="4" ref="F35:L35">SUM(F36)</f>
        <v>0</v>
      </c>
      <c r="G35" s="58">
        <f t="shared" si="4"/>
        <v>1000000</v>
      </c>
      <c r="H35" s="58">
        <f t="shared" si="4"/>
        <v>0</v>
      </c>
      <c r="I35" s="58">
        <f t="shared" si="4"/>
        <v>0</v>
      </c>
      <c r="J35" s="58">
        <f t="shared" si="4"/>
        <v>0</v>
      </c>
      <c r="K35" s="58">
        <f t="shared" si="4"/>
        <v>0</v>
      </c>
      <c r="L35" s="58">
        <f t="shared" si="4"/>
        <v>0</v>
      </c>
      <c r="M35" s="10">
        <f t="shared" si="3"/>
        <v>0</v>
      </c>
      <c r="N35" s="58">
        <f>SUM(N36)</f>
        <v>0</v>
      </c>
      <c r="O35" s="58">
        <f aca="true" t="shared" si="5" ref="O35:U35">SUM(O36)</f>
        <v>0</v>
      </c>
      <c r="P35" s="58">
        <f t="shared" si="5"/>
        <v>0</v>
      </c>
      <c r="Q35" s="58">
        <f t="shared" si="5"/>
        <v>0</v>
      </c>
      <c r="R35" s="58">
        <f t="shared" si="5"/>
        <v>0</v>
      </c>
      <c r="S35" s="58">
        <f t="shared" si="5"/>
        <v>0</v>
      </c>
      <c r="T35" s="58">
        <f t="shared" si="5"/>
        <v>0</v>
      </c>
      <c r="U35" s="58">
        <f t="shared" si="5"/>
        <v>0</v>
      </c>
      <c r="V35" s="140"/>
    </row>
    <row r="36" spans="1:22" ht="30">
      <c r="A36" s="6"/>
      <c r="B36" s="6" t="s">
        <v>606</v>
      </c>
      <c r="C36" s="9" t="s">
        <v>607</v>
      </c>
      <c r="D36" s="52">
        <f>SUM(E36:L36)</f>
        <v>1000000</v>
      </c>
      <c r="E36" s="53">
        <v>0</v>
      </c>
      <c r="F36" s="53">
        <v>0</v>
      </c>
      <c r="G36" s="53">
        <v>1000000</v>
      </c>
      <c r="H36" s="53">
        <v>0</v>
      </c>
      <c r="I36" s="53">
        <v>0</v>
      </c>
      <c r="J36" s="53">
        <v>0</v>
      </c>
      <c r="K36" s="53">
        <v>0</v>
      </c>
      <c r="L36" s="139">
        <v>0</v>
      </c>
      <c r="M36" s="52">
        <f>SUM(N36:U36)</f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139">
        <v>0</v>
      </c>
      <c r="V36" s="140" t="s">
        <v>1214</v>
      </c>
    </row>
    <row r="37" spans="1:22" ht="30.75" customHeight="1">
      <c r="A37" s="454" t="s">
        <v>286</v>
      </c>
      <c r="B37" s="454"/>
      <c r="C37" s="454"/>
      <c r="D37" s="10">
        <f t="shared" si="2"/>
        <v>7473969682</v>
      </c>
      <c r="E37" s="58">
        <f aca="true" t="shared" si="6" ref="E37:L37">E10+E34+E35</f>
        <v>43157988</v>
      </c>
      <c r="F37" s="58">
        <f t="shared" si="6"/>
        <v>8776927</v>
      </c>
      <c r="G37" s="58">
        <f t="shared" si="6"/>
        <v>3573066084</v>
      </c>
      <c r="H37" s="58">
        <f t="shared" si="6"/>
        <v>0</v>
      </c>
      <c r="I37" s="58">
        <f t="shared" si="6"/>
        <v>3848968683</v>
      </c>
      <c r="J37" s="58">
        <f t="shared" si="6"/>
        <v>0</v>
      </c>
      <c r="K37" s="58">
        <f t="shared" si="6"/>
        <v>0</v>
      </c>
      <c r="L37" s="64">
        <f t="shared" si="6"/>
        <v>0</v>
      </c>
      <c r="M37" s="10">
        <f>SUM(N37:U37)</f>
        <v>7621682927</v>
      </c>
      <c r="N37" s="58">
        <f aca="true" t="shared" si="7" ref="N37:U37">N10+N34+N35</f>
        <v>44338936</v>
      </c>
      <c r="O37" s="58">
        <f t="shared" si="7"/>
        <v>9106171</v>
      </c>
      <c r="P37" s="58">
        <f t="shared" si="7"/>
        <v>3580575946</v>
      </c>
      <c r="Q37" s="58">
        <f t="shared" si="7"/>
        <v>0</v>
      </c>
      <c r="R37" s="58">
        <f t="shared" si="7"/>
        <v>3987651874</v>
      </c>
      <c r="S37" s="58">
        <f t="shared" si="7"/>
        <v>10000</v>
      </c>
      <c r="T37" s="58">
        <f t="shared" si="7"/>
        <v>0</v>
      </c>
      <c r="U37" s="64">
        <f t="shared" si="7"/>
        <v>0</v>
      </c>
      <c r="V37" s="140"/>
    </row>
    <row r="39" s="80" customFormat="1" ht="15">
      <c r="C39" s="86"/>
    </row>
    <row r="40" s="80" customFormat="1" ht="15">
      <c r="C40" s="86"/>
    </row>
    <row r="41" s="65" customFormat="1" ht="12.75">
      <c r="C41" s="85"/>
    </row>
    <row r="42" s="65" customFormat="1" ht="12.75">
      <c r="C42" s="85"/>
    </row>
  </sheetData>
  <sheetProtection selectLockedCells="1" selectUnlockedCells="1"/>
  <mergeCells count="17">
    <mergeCell ref="V7:V10"/>
    <mergeCell ref="A1:V1"/>
    <mergeCell ref="A3:V3"/>
    <mergeCell ref="A4:V4"/>
    <mergeCell ref="N7:U7"/>
    <mergeCell ref="N8:R8"/>
    <mergeCell ref="S8:U8"/>
    <mergeCell ref="A2:V2"/>
    <mergeCell ref="A37:C37"/>
    <mergeCell ref="E8:I8"/>
    <mergeCell ref="J8:L8"/>
    <mergeCell ref="A7:A9"/>
    <mergeCell ref="B7:B9"/>
    <mergeCell ref="M7:M9"/>
    <mergeCell ref="C7:C9"/>
    <mergeCell ref="D7:D9"/>
    <mergeCell ref="E7:L7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3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57"/>
  <sheetViews>
    <sheetView view="pageBreakPreview" zoomScale="71" zoomScaleNormal="71" zoomScaleSheetLayoutView="71" zoomScalePageLayoutView="0" workbookViewId="0" topLeftCell="A1">
      <pane ySplit="9" topLeftCell="A10" activePane="bottomLeft" state="frozen"/>
      <selection pane="topLeft" activeCell="A1" sqref="A1"/>
      <selection pane="bottomLeft" activeCell="A1" sqref="A1:V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36.7109375" style="0" customWidth="1"/>
    <col min="4" max="4" width="20.421875" style="0" customWidth="1"/>
    <col min="5" max="5" width="17.57421875" style="0" customWidth="1"/>
    <col min="6" max="6" width="14.57421875" style="0" customWidth="1"/>
    <col min="7" max="7" width="17.57421875" style="0" customWidth="1"/>
    <col min="8" max="8" width="15.57421875" style="0" customWidth="1"/>
    <col min="9" max="9" width="17.57421875" style="0" customWidth="1"/>
    <col min="10" max="12" width="14.57421875" style="0" customWidth="1"/>
    <col min="13" max="13" width="20.421875" style="0" customWidth="1"/>
    <col min="14" max="14" width="17.57421875" style="0" customWidth="1"/>
    <col min="15" max="15" width="14.57421875" style="0" customWidth="1"/>
    <col min="16" max="16" width="17.57421875" style="0" customWidth="1"/>
    <col min="17" max="17" width="15.57421875" style="0" customWidth="1"/>
    <col min="18" max="18" width="17.57421875" style="0" customWidth="1"/>
    <col min="19" max="21" width="14.57421875" style="0" customWidth="1"/>
    <col min="22" max="22" width="16.140625" style="0" customWidth="1"/>
  </cols>
  <sheetData>
    <row r="1" spans="1:22" ht="20.25">
      <c r="A1" s="499" t="s">
        <v>1551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</row>
    <row r="2" spans="1:22" ht="18">
      <c r="A2" s="521" t="s">
        <v>1524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</row>
    <row r="3" spans="1:22" ht="18" customHeight="1">
      <c r="A3" s="423" t="s">
        <v>608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</row>
    <row r="4" spans="1:22" ht="18">
      <c r="A4" s="497" t="s">
        <v>609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V5" s="111" t="s">
        <v>0</v>
      </c>
    </row>
    <row r="6" spans="1:22" ht="15" customHeight="1">
      <c r="A6" s="144" t="s">
        <v>1</v>
      </c>
      <c r="B6" s="144" t="s">
        <v>2</v>
      </c>
      <c r="C6" s="144" t="s">
        <v>3</v>
      </c>
      <c r="D6" s="144" t="s">
        <v>4</v>
      </c>
      <c r="E6" s="144" t="s">
        <v>5</v>
      </c>
      <c r="F6" s="144" t="s">
        <v>6</v>
      </c>
      <c r="G6" s="144" t="s">
        <v>7</v>
      </c>
      <c r="H6" s="144" t="s">
        <v>8</v>
      </c>
      <c r="I6" s="144" t="s">
        <v>9</v>
      </c>
      <c r="J6" s="145" t="s">
        <v>10</v>
      </c>
      <c r="K6" s="144" t="s">
        <v>11</v>
      </c>
      <c r="L6" s="146" t="s">
        <v>12</v>
      </c>
      <c r="M6" s="146" t="s">
        <v>13</v>
      </c>
      <c r="N6" s="144" t="s">
        <v>14</v>
      </c>
      <c r="O6" s="144" t="s">
        <v>15</v>
      </c>
      <c r="P6" s="144" t="s">
        <v>16</v>
      </c>
      <c r="Q6" s="144" t="s">
        <v>17</v>
      </c>
      <c r="R6" s="144" t="s">
        <v>18</v>
      </c>
      <c r="S6" s="145" t="s">
        <v>19</v>
      </c>
      <c r="T6" s="144" t="s">
        <v>20</v>
      </c>
      <c r="U6" s="146" t="s">
        <v>21</v>
      </c>
      <c r="V6" s="127" t="s">
        <v>179</v>
      </c>
    </row>
    <row r="7" spans="1:22" ht="12.75" customHeight="1">
      <c r="A7" s="413" t="s">
        <v>23</v>
      </c>
      <c r="B7" s="413" t="s">
        <v>183</v>
      </c>
      <c r="C7" s="406" t="s">
        <v>24</v>
      </c>
      <c r="D7" s="406" t="s">
        <v>1262</v>
      </c>
      <c r="E7" s="455" t="s">
        <v>25</v>
      </c>
      <c r="F7" s="455"/>
      <c r="G7" s="455"/>
      <c r="H7" s="455"/>
      <c r="I7" s="455"/>
      <c r="J7" s="455"/>
      <c r="K7" s="455"/>
      <c r="L7" s="456"/>
      <c r="M7" s="455" t="s">
        <v>1467</v>
      </c>
      <c r="N7" s="455" t="s">
        <v>1466</v>
      </c>
      <c r="O7" s="455"/>
      <c r="P7" s="455"/>
      <c r="Q7" s="455"/>
      <c r="R7" s="455"/>
      <c r="S7" s="455"/>
      <c r="T7" s="455"/>
      <c r="U7" s="455"/>
      <c r="V7" s="520" t="s">
        <v>1012</v>
      </c>
    </row>
    <row r="8" spans="1:22" ht="12.75" customHeight="1">
      <c r="A8" s="413"/>
      <c r="B8" s="413"/>
      <c r="C8" s="406"/>
      <c r="D8" s="406"/>
      <c r="E8" s="405" t="s">
        <v>26</v>
      </c>
      <c r="F8" s="405"/>
      <c r="G8" s="405"/>
      <c r="H8" s="405"/>
      <c r="I8" s="405"/>
      <c r="J8" s="405" t="s">
        <v>27</v>
      </c>
      <c r="K8" s="405"/>
      <c r="L8" s="457"/>
      <c r="M8" s="455"/>
      <c r="N8" s="501" t="s">
        <v>26</v>
      </c>
      <c r="O8" s="501"/>
      <c r="P8" s="501"/>
      <c r="Q8" s="501"/>
      <c r="R8" s="501"/>
      <c r="S8" s="501" t="s">
        <v>27</v>
      </c>
      <c r="T8" s="501"/>
      <c r="U8" s="501"/>
      <c r="V8" s="520"/>
    </row>
    <row r="9" spans="1:22" ht="114.75" customHeight="1">
      <c r="A9" s="413"/>
      <c r="B9" s="413"/>
      <c r="C9" s="406"/>
      <c r="D9" s="406"/>
      <c r="E9" s="5" t="s">
        <v>28</v>
      </c>
      <c r="F9" s="5" t="s">
        <v>29</v>
      </c>
      <c r="G9" s="5" t="s">
        <v>30</v>
      </c>
      <c r="H9" s="5" t="s">
        <v>31</v>
      </c>
      <c r="I9" s="5" t="s">
        <v>32</v>
      </c>
      <c r="J9" s="5" t="s">
        <v>33</v>
      </c>
      <c r="K9" s="5" t="s">
        <v>34</v>
      </c>
      <c r="L9" s="114" t="s">
        <v>35</v>
      </c>
      <c r="M9" s="455"/>
      <c r="N9" s="40" t="s">
        <v>28</v>
      </c>
      <c r="O9" s="40" t="s">
        <v>29</v>
      </c>
      <c r="P9" s="40" t="s">
        <v>30</v>
      </c>
      <c r="Q9" s="40" t="s">
        <v>31</v>
      </c>
      <c r="R9" s="40" t="s">
        <v>32</v>
      </c>
      <c r="S9" s="40" t="s">
        <v>33</v>
      </c>
      <c r="T9" s="40" t="s">
        <v>34</v>
      </c>
      <c r="U9" s="40" t="s">
        <v>35</v>
      </c>
      <c r="V9" s="520"/>
    </row>
    <row r="10" spans="1:22" ht="18">
      <c r="A10" s="6" t="s">
        <v>146</v>
      </c>
      <c r="B10" s="6"/>
      <c r="C10" s="41" t="s">
        <v>39</v>
      </c>
      <c r="D10" s="10">
        <f aca="true" t="shared" si="0" ref="D10:D24">SUM(E10:L10)</f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61">
        <v>0</v>
      </c>
      <c r="M10" s="10">
        <f aca="true" t="shared" si="1" ref="M10:M24">SUM(N10:U10)</f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61">
        <v>0</v>
      </c>
      <c r="V10" s="520"/>
    </row>
    <row r="11" spans="1:22" ht="18">
      <c r="A11" s="6" t="s">
        <v>147</v>
      </c>
      <c r="B11" s="6"/>
      <c r="C11" s="41" t="s">
        <v>41</v>
      </c>
      <c r="D11" s="10">
        <f t="shared" si="0"/>
        <v>326318022</v>
      </c>
      <c r="E11" s="58">
        <f aca="true" t="shared" si="2" ref="E11:L11">SUM(E12:E22)</f>
        <v>42852585</v>
      </c>
      <c r="F11" s="58">
        <f t="shared" si="2"/>
        <v>15067317</v>
      </c>
      <c r="G11" s="58">
        <f t="shared" si="2"/>
        <v>215860181</v>
      </c>
      <c r="H11" s="58">
        <f t="shared" si="2"/>
        <v>0</v>
      </c>
      <c r="I11" s="58">
        <f t="shared" si="2"/>
        <v>10000000</v>
      </c>
      <c r="J11" s="58">
        <f t="shared" si="2"/>
        <v>42537939</v>
      </c>
      <c r="K11" s="58">
        <f t="shared" si="2"/>
        <v>0</v>
      </c>
      <c r="L11" s="64">
        <f t="shared" si="2"/>
        <v>0</v>
      </c>
      <c r="M11" s="10">
        <f t="shared" si="1"/>
        <v>286720445</v>
      </c>
      <c r="N11" s="58">
        <f aca="true" t="shared" si="3" ref="N11:U11">SUM(N12:N22)</f>
        <v>25149814</v>
      </c>
      <c r="O11" s="58">
        <f t="shared" si="3"/>
        <v>10656155</v>
      </c>
      <c r="P11" s="58">
        <f t="shared" si="3"/>
        <v>183659386</v>
      </c>
      <c r="Q11" s="58">
        <f t="shared" si="3"/>
        <v>0</v>
      </c>
      <c r="R11" s="58">
        <f t="shared" si="3"/>
        <v>9079200</v>
      </c>
      <c r="S11" s="58">
        <f t="shared" si="3"/>
        <v>58175890</v>
      </c>
      <c r="T11" s="58">
        <f t="shared" si="3"/>
        <v>0</v>
      </c>
      <c r="U11" s="64">
        <f t="shared" si="3"/>
        <v>0</v>
      </c>
      <c r="V11" s="520"/>
    </row>
    <row r="12" spans="1:22" ht="30">
      <c r="A12" s="6"/>
      <c r="B12" s="6" t="s">
        <v>610</v>
      </c>
      <c r="C12" s="9" t="s">
        <v>611</v>
      </c>
      <c r="D12" s="52">
        <f t="shared" si="0"/>
        <v>37158435</v>
      </c>
      <c r="E12" s="53">
        <f>3000000+220000</f>
        <v>3220000</v>
      </c>
      <c r="F12" s="53">
        <f>1000000+34650</f>
        <v>1034650</v>
      </c>
      <c r="G12" s="53">
        <f>26000000+6903785</f>
        <v>32903785</v>
      </c>
      <c r="H12" s="53">
        <v>0</v>
      </c>
      <c r="I12" s="53">
        <v>0</v>
      </c>
      <c r="J12" s="53">
        <v>0</v>
      </c>
      <c r="K12" s="53">
        <v>0</v>
      </c>
      <c r="L12" s="115">
        <v>0</v>
      </c>
      <c r="M12" s="52">
        <f t="shared" si="1"/>
        <v>45746435</v>
      </c>
      <c r="N12" s="53">
        <v>2860000</v>
      </c>
      <c r="O12" s="53">
        <v>450450</v>
      </c>
      <c r="P12" s="53">
        <v>42435985</v>
      </c>
      <c r="Q12" s="53">
        <v>0</v>
      </c>
      <c r="R12" s="53">
        <v>0</v>
      </c>
      <c r="S12" s="53">
        <v>0</v>
      </c>
      <c r="T12" s="53">
        <v>0</v>
      </c>
      <c r="U12" s="115">
        <v>0</v>
      </c>
      <c r="V12" s="166" t="s">
        <v>1215</v>
      </c>
    </row>
    <row r="13" spans="1:22" ht="45">
      <c r="A13" s="6"/>
      <c r="B13" s="6" t="s">
        <v>612</v>
      </c>
      <c r="C13" s="9" t="s">
        <v>755</v>
      </c>
      <c r="D13" s="52">
        <f t="shared" si="0"/>
        <v>77884686</v>
      </c>
      <c r="E13" s="53">
        <f>27000000+3975705</f>
        <v>30975705</v>
      </c>
      <c r="F13" s="53">
        <f>8000000+2214312</f>
        <v>10214312</v>
      </c>
      <c r="G13" s="53">
        <f>15000000+5986730</f>
        <v>20986730</v>
      </c>
      <c r="H13" s="53">
        <v>0</v>
      </c>
      <c r="I13" s="53">
        <v>10000000</v>
      </c>
      <c r="J13" s="53">
        <v>5707939</v>
      </c>
      <c r="K13" s="53">
        <v>0</v>
      </c>
      <c r="L13" s="115">
        <v>0</v>
      </c>
      <c r="M13" s="52">
        <f t="shared" si="1"/>
        <v>57197356</v>
      </c>
      <c r="N13" s="53">
        <v>14047934</v>
      </c>
      <c r="O13" s="53">
        <v>7954753</v>
      </c>
      <c r="P13" s="53">
        <v>29486730</v>
      </c>
      <c r="Q13" s="53">
        <v>0</v>
      </c>
      <c r="R13" s="53">
        <v>0</v>
      </c>
      <c r="S13" s="53">
        <v>5707939</v>
      </c>
      <c r="T13" s="53">
        <v>0</v>
      </c>
      <c r="U13" s="115">
        <v>0</v>
      </c>
      <c r="V13" s="166" t="s">
        <v>1216</v>
      </c>
    </row>
    <row r="14" spans="1:22" ht="18">
      <c r="A14" s="6"/>
      <c r="B14" s="6" t="s">
        <v>613</v>
      </c>
      <c r="C14" s="9" t="s">
        <v>614</v>
      </c>
      <c r="D14" s="52">
        <f t="shared" si="0"/>
        <v>34859193</v>
      </c>
      <c r="E14" s="53">
        <f>3000000+25197</f>
        <v>3025197</v>
      </c>
      <c r="F14" s="53">
        <f>1500000+7670</f>
        <v>1507670</v>
      </c>
      <c r="G14" s="53">
        <f>25500000+4826326</f>
        <v>30326326</v>
      </c>
      <c r="H14" s="53">
        <v>0</v>
      </c>
      <c r="I14" s="53">
        <v>0</v>
      </c>
      <c r="J14" s="53">
        <v>0</v>
      </c>
      <c r="K14" s="53">
        <v>0</v>
      </c>
      <c r="L14" s="115">
        <v>0</v>
      </c>
      <c r="M14" s="52">
        <f t="shared" si="1"/>
        <v>32787193</v>
      </c>
      <c r="N14" s="53">
        <v>1175197</v>
      </c>
      <c r="O14" s="53">
        <v>507670</v>
      </c>
      <c r="P14" s="53">
        <v>31104326</v>
      </c>
      <c r="Q14" s="53">
        <v>0</v>
      </c>
      <c r="R14" s="53">
        <v>0</v>
      </c>
      <c r="S14" s="53">
        <v>0</v>
      </c>
      <c r="T14" s="53">
        <v>0</v>
      </c>
      <c r="U14" s="115">
        <v>0</v>
      </c>
      <c r="V14" s="166" t="s">
        <v>1217</v>
      </c>
    </row>
    <row r="15" spans="1:22" ht="18">
      <c r="A15" s="6"/>
      <c r="B15" s="6" t="s">
        <v>615</v>
      </c>
      <c r="C15" s="9" t="s">
        <v>616</v>
      </c>
      <c r="D15" s="52">
        <f t="shared" si="0"/>
        <v>11694934</v>
      </c>
      <c r="E15" s="53">
        <f>1500000+331683</f>
        <v>1831683</v>
      </c>
      <c r="F15" s="53">
        <f>500000+181389</f>
        <v>681389</v>
      </c>
      <c r="G15" s="53">
        <f>8000000+1181862</f>
        <v>9181862</v>
      </c>
      <c r="H15" s="53">
        <v>0</v>
      </c>
      <c r="I15" s="53">
        <v>0</v>
      </c>
      <c r="J15" s="53">
        <v>0</v>
      </c>
      <c r="K15" s="53">
        <v>0</v>
      </c>
      <c r="L15" s="115">
        <v>0</v>
      </c>
      <c r="M15" s="52">
        <f t="shared" si="1"/>
        <v>11694934</v>
      </c>
      <c r="N15" s="53">
        <v>1831683</v>
      </c>
      <c r="O15" s="53">
        <v>681389</v>
      </c>
      <c r="P15" s="53">
        <v>2963911</v>
      </c>
      <c r="Q15" s="53">
        <v>0</v>
      </c>
      <c r="R15" s="53">
        <v>0</v>
      </c>
      <c r="S15" s="53">
        <v>6217951</v>
      </c>
      <c r="T15" s="53">
        <v>0</v>
      </c>
      <c r="U15" s="115">
        <v>0</v>
      </c>
      <c r="V15" s="166" t="s">
        <v>1218</v>
      </c>
    </row>
    <row r="16" spans="1:22" ht="30">
      <c r="A16" s="6"/>
      <c r="B16" s="6" t="s">
        <v>617</v>
      </c>
      <c r="C16" s="9" t="s">
        <v>618</v>
      </c>
      <c r="D16" s="52">
        <f t="shared" si="0"/>
        <v>1034000</v>
      </c>
      <c r="E16" s="53">
        <v>0</v>
      </c>
      <c r="F16" s="53">
        <v>0</v>
      </c>
      <c r="G16" s="53">
        <v>1034000</v>
      </c>
      <c r="H16" s="53">
        <v>0</v>
      </c>
      <c r="I16" s="53">
        <v>0</v>
      </c>
      <c r="J16" s="53">
        <v>0</v>
      </c>
      <c r="K16" s="53">
        <v>0</v>
      </c>
      <c r="L16" s="115">
        <v>0</v>
      </c>
      <c r="M16" s="52">
        <f t="shared" si="1"/>
        <v>1034000</v>
      </c>
      <c r="N16" s="53">
        <v>0</v>
      </c>
      <c r="O16" s="53">
        <v>0</v>
      </c>
      <c r="P16" s="53">
        <v>1034000</v>
      </c>
      <c r="Q16" s="53">
        <v>0</v>
      </c>
      <c r="R16" s="53">
        <v>0</v>
      </c>
      <c r="S16" s="53">
        <v>0</v>
      </c>
      <c r="T16" s="53">
        <v>0</v>
      </c>
      <c r="U16" s="115">
        <v>0</v>
      </c>
      <c r="V16" s="166" t="s">
        <v>1219</v>
      </c>
    </row>
    <row r="17" spans="1:22" ht="30">
      <c r="A17" s="6"/>
      <c r="B17" s="6" t="s">
        <v>619</v>
      </c>
      <c r="C17" s="9" t="s">
        <v>620</v>
      </c>
      <c r="D17" s="52">
        <f t="shared" si="0"/>
        <v>83287247</v>
      </c>
      <c r="E17" s="53">
        <f>2000000+800000</f>
        <v>2800000</v>
      </c>
      <c r="F17" s="53">
        <f>1000000+85947</f>
        <v>1085947</v>
      </c>
      <c r="G17" s="53">
        <f>37000000+5571300</f>
        <v>42571300</v>
      </c>
      <c r="H17" s="53">
        <v>0</v>
      </c>
      <c r="I17" s="53">
        <v>0</v>
      </c>
      <c r="J17" s="53">
        <v>36830000</v>
      </c>
      <c r="K17" s="53">
        <v>0</v>
      </c>
      <c r="L17" s="115">
        <v>0</v>
      </c>
      <c r="M17" s="52">
        <f t="shared" si="1"/>
        <v>91787247</v>
      </c>
      <c r="N17" s="53">
        <v>800000</v>
      </c>
      <c r="O17" s="53">
        <v>85947</v>
      </c>
      <c r="P17" s="53">
        <v>42181300</v>
      </c>
      <c r="Q17" s="53">
        <v>0</v>
      </c>
      <c r="R17" s="53">
        <v>3000000</v>
      </c>
      <c r="S17" s="53">
        <v>45720000</v>
      </c>
      <c r="T17" s="53">
        <v>0</v>
      </c>
      <c r="U17" s="115">
        <v>0</v>
      </c>
      <c r="V17" s="166" t="s">
        <v>1220</v>
      </c>
    </row>
    <row r="18" spans="1:22" ht="18">
      <c r="A18" s="6"/>
      <c r="B18" s="6" t="s">
        <v>621</v>
      </c>
      <c r="C18" s="9" t="s">
        <v>622</v>
      </c>
      <c r="D18" s="52">
        <f t="shared" si="0"/>
        <v>41066178</v>
      </c>
      <c r="E18" s="53">
        <v>0</v>
      </c>
      <c r="F18" s="53">
        <v>0</v>
      </c>
      <c r="G18" s="53">
        <v>41066178</v>
      </c>
      <c r="H18" s="53">
        <v>0</v>
      </c>
      <c r="I18" s="53">
        <v>0</v>
      </c>
      <c r="J18" s="53">
        <v>0</v>
      </c>
      <c r="K18" s="53">
        <v>0</v>
      </c>
      <c r="L18" s="115">
        <v>0</v>
      </c>
      <c r="M18" s="52">
        <f t="shared" si="1"/>
        <v>27379931</v>
      </c>
      <c r="N18" s="53">
        <v>0</v>
      </c>
      <c r="O18" s="53">
        <v>0</v>
      </c>
      <c r="P18" s="53">
        <v>20770731</v>
      </c>
      <c r="Q18" s="53">
        <v>0</v>
      </c>
      <c r="R18" s="53">
        <v>6079200</v>
      </c>
      <c r="S18" s="53">
        <v>530000</v>
      </c>
      <c r="T18" s="53">
        <v>0</v>
      </c>
      <c r="U18" s="115">
        <v>0</v>
      </c>
      <c r="V18" s="166" t="s">
        <v>1221</v>
      </c>
    </row>
    <row r="19" spans="1:22" ht="18">
      <c r="A19" s="6"/>
      <c r="B19" s="6" t="s">
        <v>623</v>
      </c>
      <c r="C19" s="9" t="s">
        <v>991</v>
      </c>
      <c r="D19" s="52">
        <f t="shared" si="0"/>
        <v>2540000</v>
      </c>
      <c r="E19" s="53">
        <v>0</v>
      </c>
      <c r="F19" s="53">
        <v>0</v>
      </c>
      <c r="G19" s="53">
        <v>2540000</v>
      </c>
      <c r="H19" s="53">
        <v>0</v>
      </c>
      <c r="I19" s="53">
        <v>0</v>
      </c>
      <c r="J19" s="53">
        <v>0</v>
      </c>
      <c r="K19" s="53">
        <v>0</v>
      </c>
      <c r="L19" s="115">
        <v>0</v>
      </c>
      <c r="M19" s="52">
        <f t="shared" si="1"/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115">
        <v>0</v>
      </c>
      <c r="V19" s="166">
        <v>58212</v>
      </c>
    </row>
    <row r="20" spans="1:22" ht="18">
      <c r="A20" s="6"/>
      <c r="B20" s="6" t="s">
        <v>624</v>
      </c>
      <c r="C20" s="9" t="s">
        <v>625</v>
      </c>
      <c r="D20" s="52">
        <f t="shared" si="0"/>
        <v>10043349</v>
      </c>
      <c r="E20" s="53">
        <v>0</v>
      </c>
      <c r="F20" s="53">
        <v>43349</v>
      </c>
      <c r="G20" s="53">
        <v>10000000</v>
      </c>
      <c r="H20" s="53">
        <v>0</v>
      </c>
      <c r="I20" s="53">
        <v>0</v>
      </c>
      <c r="J20" s="53">
        <v>0</v>
      </c>
      <c r="K20" s="53">
        <v>0</v>
      </c>
      <c r="L20" s="115">
        <v>0</v>
      </c>
      <c r="M20" s="52">
        <f t="shared" si="1"/>
        <v>5043349</v>
      </c>
      <c r="N20" s="53">
        <v>3435000</v>
      </c>
      <c r="O20" s="53">
        <v>475946</v>
      </c>
      <c r="P20" s="53">
        <v>1132403</v>
      </c>
      <c r="Q20" s="53">
        <v>0</v>
      </c>
      <c r="R20" s="53">
        <v>0</v>
      </c>
      <c r="S20" s="53">
        <v>0</v>
      </c>
      <c r="T20" s="53">
        <v>0</v>
      </c>
      <c r="U20" s="115">
        <v>0</v>
      </c>
      <c r="V20" s="165" t="s">
        <v>1222</v>
      </c>
    </row>
    <row r="21" spans="1:22" ht="18">
      <c r="A21" s="6"/>
      <c r="B21" s="6" t="s">
        <v>626</v>
      </c>
      <c r="C21" s="9" t="s">
        <v>627</v>
      </c>
      <c r="D21" s="52">
        <f t="shared" si="0"/>
        <v>12700000</v>
      </c>
      <c r="E21" s="53">
        <v>0</v>
      </c>
      <c r="F21" s="53">
        <v>0</v>
      </c>
      <c r="G21" s="53">
        <v>12700000</v>
      </c>
      <c r="H21" s="53">
        <v>0</v>
      </c>
      <c r="I21" s="53">
        <v>0</v>
      </c>
      <c r="J21" s="53">
        <v>0</v>
      </c>
      <c r="K21" s="53">
        <v>0</v>
      </c>
      <c r="L21" s="115">
        <v>0</v>
      </c>
      <c r="M21" s="52">
        <f t="shared" si="1"/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115">
        <v>0</v>
      </c>
      <c r="V21" s="165" t="s">
        <v>1223</v>
      </c>
    </row>
    <row r="22" spans="1:22" ht="30">
      <c r="A22" s="6"/>
      <c r="B22" s="6" t="s">
        <v>628</v>
      </c>
      <c r="C22" s="9" t="s">
        <v>1433</v>
      </c>
      <c r="D22" s="52">
        <f t="shared" si="0"/>
        <v>14050000</v>
      </c>
      <c r="E22" s="53">
        <v>1000000</v>
      </c>
      <c r="F22" s="53">
        <v>500000</v>
      </c>
      <c r="G22" s="53">
        <f>11500000+1050000</f>
        <v>12550000</v>
      </c>
      <c r="H22" s="53">
        <v>0</v>
      </c>
      <c r="I22" s="53">
        <v>0</v>
      </c>
      <c r="J22" s="53">
        <v>0</v>
      </c>
      <c r="K22" s="53">
        <v>0</v>
      </c>
      <c r="L22" s="115">
        <v>0</v>
      </c>
      <c r="M22" s="52">
        <f t="shared" si="1"/>
        <v>14050000</v>
      </c>
      <c r="N22" s="53">
        <v>1000000</v>
      </c>
      <c r="O22" s="53">
        <v>500000</v>
      </c>
      <c r="P22" s="53">
        <v>12550000</v>
      </c>
      <c r="Q22" s="53">
        <v>0</v>
      </c>
      <c r="R22" s="53">
        <v>0</v>
      </c>
      <c r="S22" s="53">
        <v>0</v>
      </c>
      <c r="T22" s="53">
        <v>0</v>
      </c>
      <c r="U22" s="115">
        <v>0</v>
      </c>
      <c r="V22" s="165" t="s">
        <v>1224</v>
      </c>
    </row>
    <row r="23" spans="1:22" ht="18">
      <c r="A23" s="6" t="s">
        <v>148</v>
      </c>
      <c r="B23" s="6"/>
      <c r="C23" s="41" t="s">
        <v>43</v>
      </c>
      <c r="D23" s="10">
        <f t="shared" si="0"/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61">
        <v>0</v>
      </c>
      <c r="M23" s="10">
        <f t="shared" si="1"/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61">
        <v>0</v>
      </c>
      <c r="V23" s="137"/>
    </row>
    <row r="24" spans="1:22" ht="27" customHeight="1">
      <c r="A24" s="454" t="s">
        <v>286</v>
      </c>
      <c r="B24" s="454"/>
      <c r="C24" s="454"/>
      <c r="D24" s="10">
        <f t="shared" si="0"/>
        <v>326318022</v>
      </c>
      <c r="E24" s="58">
        <f aca="true" t="shared" si="4" ref="E24:L24">E10+E11+E23</f>
        <v>42852585</v>
      </c>
      <c r="F24" s="58">
        <f t="shared" si="4"/>
        <v>15067317</v>
      </c>
      <c r="G24" s="58">
        <f t="shared" si="4"/>
        <v>215860181</v>
      </c>
      <c r="H24" s="58">
        <f t="shared" si="4"/>
        <v>0</v>
      </c>
      <c r="I24" s="58">
        <f t="shared" si="4"/>
        <v>10000000</v>
      </c>
      <c r="J24" s="58">
        <f t="shared" si="4"/>
        <v>42537939</v>
      </c>
      <c r="K24" s="58">
        <f t="shared" si="4"/>
        <v>0</v>
      </c>
      <c r="L24" s="64">
        <f t="shared" si="4"/>
        <v>0</v>
      </c>
      <c r="M24" s="10">
        <f t="shared" si="1"/>
        <v>286720445</v>
      </c>
      <c r="N24" s="58">
        <f aca="true" t="shared" si="5" ref="N24:U24">N10+N11+N23</f>
        <v>25149814</v>
      </c>
      <c r="O24" s="58">
        <f t="shared" si="5"/>
        <v>10656155</v>
      </c>
      <c r="P24" s="58">
        <f t="shared" si="5"/>
        <v>183659386</v>
      </c>
      <c r="Q24" s="58">
        <f t="shared" si="5"/>
        <v>0</v>
      </c>
      <c r="R24" s="58">
        <f t="shared" si="5"/>
        <v>9079200</v>
      </c>
      <c r="S24" s="58">
        <f t="shared" si="5"/>
        <v>58175890</v>
      </c>
      <c r="T24" s="58">
        <f t="shared" si="5"/>
        <v>0</v>
      </c>
      <c r="U24" s="64">
        <f t="shared" si="5"/>
        <v>0</v>
      </c>
      <c r="V24" s="137"/>
    </row>
    <row r="27" spans="10:21" ht="12.75">
      <c r="J27" s="11"/>
      <c r="K27" s="11"/>
      <c r="L27" s="11"/>
      <c r="S27" s="11"/>
      <c r="T27" s="11"/>
      <c r="U27" s="11"/>
    </row>
    <row r="28" spans="10:21" ht="12.75">
      <c r="J28" s="11"/>
      <c r="K28" s="11"/>
      <c r="L28" s="11"/>
      <c r="S28" s="11"/>
      <c r="T28" s="11"/>
      <c r="U28" s="11"/>
    </row>
    <row r="29" spans="10:21" ht="12.75">
      <c r="J29" s="11"/>
      <c r="K29" s="11"/>
      <c r="L29" s="11"/>
      <c r="S29" s="11"/>
      <c r="T29" s="11"/>
      <c r="U29" s="11"/>
    </row>
    <row r="30" spans="10:21" ht="12.75">
      <c r="J30" s="11"/>
      <c r="K30" s="11"/>
      <c r="L30" s="11"/>
      <c r="S30" s="11"/>
      <c r="T30" s="11"/>
      <c r="U30" s="11"/>
    </row>
    <row r="31" spans="10:21" ht="12.75">
      <c r="J31" s="84"/>
      <c r="K31" s="11" t="s">
        <v>428</v>
      </c>
      <c r="L31" s="11"/>
      <c r="S31" s="84"/>
      <c r="T31" s="11" t="s">
        <v>428</v>
      </c>
      <c r="U31" s="11"/>
    </row>
    <row r="32" spans="10:21" ht="12.75">
      <c r="J32" s="11"/>
      <c r="K32" s="11"/>
      <c r="L32" s="11"/>
      <c r="S32" s="11"/>
      <c r="T32" s="11"/>
      <c r="U32" s="11"/>
    </row>
    <row r="33" spans="10:21" ht="12.75">
      <c r="J33" s="11"/>
      <c r="K33" s="11"/>
      <c r="L33" s="11"/>
      <c r="S33" s="11"/>
      <c r="T33" s="11"/>
      <c r="U33" s="11"/>
    </row>
    <row r="34" spans="10:21" ht="12.75">
      <c r="J34" s="11"/>
      <c r="K34" s="11"/>
      <c r="L34" s="11"/>
      <c r="S34" s="11"/>
      <c r="T34" s="11"/>
      <c r="U34" s="11"/>
    </row>
    <row r="35" spans="10:21" ht="12.75">
      <c r="J35" s="11"/>
      <c r="K35" s="11"/>
      <c r="L35" s="11"/>
      <c r="S35" s="11"/>
      <c r="T35" s="11"/>
      <c r="U35" s="11"/>
    </row>
    <row r="36" spans="10:21" ht="12.75">
      <c r="J36" s="11"/>
      <c r="K36" s="11"/>
      <c r="L36" s="11"/>
      <c r="S36" s="11"/>
      <c r="T36" s="11"/>
      <c r="U36" s="11"/>
    </row>
    <row r="37" spans="10:21" ht="12.75">
      <c r="J37" s="11"/>
      <c r="K37" s="11"/>
      <c r="L37" s="11"/>
      <c r="S37" s="11"/>
      <c r="T37" s="11"/>
      <c r="U37" s="11"/>
    </row>
    <row r="38" spans="10:21" ht="12.75">
      <c r="J38" s="11"/>
      <c r="K38" s="11"/>
      <c r="L38" s="11"/>
      <c r="S38" s="11"/>
      <c r="T38" s="11"/>
      <c r="U38" s="11"/>
    </row>
    <row r="39" spans="10:21" ht="12.75">
      <c r="J39" s="11"/>
      <c r="K39" s="11"/>
      <c r="L39" s="11"/>
      <c r="S39" s="11"/>
      <c r="T39" s="11"/>
      <c r="U39" s="11"/>
    </row>
    <row r="40" spans="10:21" ht="12.75">
      <c r="J40" s="11"/>
      <c r="K40" s="11"/>
      <c r="L40" s="11"/>
      <c r="S40" s="11"/>
      <c r="T40" s="11"/>
      <c r="U40" s="11"/>
    </row>
    <row r="41" spans="10:21" ht="12.75">
      <c r="J41" s="11"/>
      <c r="K41" s="11"/>
      <c r="L41" s="11"/>
      <c r="S41" s="11"/>
      <c r="T41" s="11"/>
      <c r="U41" s="11"/>
    </row>
    <row r="42" spans="10:21" ht="12.75">
      <c r="J42" s="11"/>
      <c r="K42" s="11"/>
      <c r="L42" s="11"/>
      <c r="S42" s="11"/>
      <c r="T42" s="11"/>
      <c r="U42" s="11"/>
    </row>
    <row r="43" spans="10:21" ht="12.75">
      <c r="J43" s="11"/>
      <c r="K43" s="11"/>
      <c r="L43" s="11"/>
      <c r="S43" s="11"/>
      <c r="T43" s="11"/>
      <c r="U43" s="11"/>
    </row>
    <row r="44" spans="10:21" ht="12.75">
      <c r="J44" s="11"/>
      <c r="K44" s="11"/>
      <c r="L44" s="11"/>
      <c r="S44" s="11"/>
      <c r="T44" s="11"/>
      <c r="U44" s="11"/>
    </row>
    <row r="45" spans="10:21" ht="12.75">
      <c r="J45" s="11"/>
      <c r="K45" s="11"/>
      <c r="L45" s="11"/>
      <c r="S45" s="11"/>
      <c r="T45" s="11"/>
      <c r="U45" s="11"/>
    </row>
    <row r="55" spans="11:21" ht="12.75">
      <c r="K55" s="72"/>
      <c r="L55" s="73"/>
      <c r="T55" s="72"/>
      <c r="U55" s="73"/>
    </row>
    <row r="56" spans="11:21" ht="12.75">
      <c r="K56" s="74"/>
      <c r="L56" s="75"/>
      <c r="T56" s="74"/>
      <c r="U56" s="75"/>
    </row>
    <row r="57" spans="11:21" ht="12.75">
      <c r="K57" s="76"/>
      <c r="L57" s="77"/>
      <c r="T57" s="76"/>
      <c r="U57" s="77"/>
    </row>
  </sheetData>
  <sheetProtection selectLockedCells="1" selectUnlockedCells="1"/>
  <mergeCells count="17">
    <mergeCell ref="A2:V2"/>
    <mergeCell ref="A1:V1"/>
    <mergeCell ref="A3:V3"/>
    <mergeCell ref="A4:V4"/>
    <mergeCell ref="M7:M9"/>
    <mergeCell ref="E7:L7"/>
    <mergeCell ref="S8:U8"/>
    <mergeCell ref="D7:D9"/>
    <mergeCell ref="N8:R8"/>
    <mergeCell ref="C7:C9"/>
    <mergeCell ref="V7:V11"/>
    <mergeCell ref="N7:U7"/>
    <mergeCell ref="A24:C24"/>
    <mergeCell ref="E8:I8"/>
    <mergeCell ref="J8:L8"/>
    <mergeCell ref="A7:A9"/>
    <mergeCell ref="B7:B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7"/>
  <sheetViews>
    <sheetView view="pageBreakPreview" zoomScale="71" zoomScaleNormal="71" zoomScaleSheetLayoutView="7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V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51.7109375" style="0" customWidth="1"/>
    <col min="4" max="4" width="16.8515625" style="0" customWidth="1"/>
    <col min="5" max="5" width="14.57421875" style="0" customWidth="1"/>
    <col min="6" max="6" width="15.421875" style="0" customWidth="1"/>
    <col min="7" max="7" width="18.28125" style="0" customWidth="1"/>
    <col min="8" max="8" width="14.57421875" style="0" customWidth="1"/>
    <col min="9" max="9" width="20.7109375" style="0" customWidth="1"/>
    <col min="10" max="12" width="14.57421875" style="0" customWidth="1"/>
    <col min="13" max="13" width="25.140625" style="0" customWidth="1"/>
    <col min="14" max="14" width="14.57421875" style="0" customWidth="1"/>
    <col min="15" max="15" width="15.421875" style="0" customWidth="1"/>
    <col min="16" max="16" width="18.28125" style="0" customWidth="1"/>
    <col min="17" max="17" width="14.57421875" style="0" customWidth="1"/>
    <col min="18" max="18" width="20.7109375" style="0" customWidth="1"/>
    <col min="19" max="21" width="14.57421875" style="0" customWidth="1"/>
    <col min="22" max="22" width="16.140625" style="0" customWidth="1"/>
  </cols>
  <sheetData>
    <row r="1" spans="1:22" ht="20.25">
      <c r="A1" s="499" t="s">
        <v>1552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</row>
    <row r="2" spans="1:22" ht="18">
      <c r="A2" s="416" t="s">
        <v>1525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</row>
    <row r="3" spans="1:22" ht="18" customHeight="1">
      <c r="A3" s="496" t="s">
        <v>629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</row>
    <row r="4" spans="1:22" ht="18" customHeight="1">
      <c r="A4" s="522" t="s">
        <v>630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M5" s="1"/>
      <c r="N5" s="1"/>
      <c r="O5" s="1"/>
      <c r="P5" s="1"/>
      <c r="Q5" s="1"/>
      <c r="R5" s="1"/>
      <c r="S5" s="1"/>
      <c r="V5" s="111" t="s">
        <v>0</v>
      </c>
    </row>
    <row r="6" spans="1:22" ht="15" customHeight="1">
      <c r="A6" s="144" t="s">
        <v>1</v>
      </c>
      <c r="B6" s="144" t="s">
        <v>2</v>
      </c>
      <c r="C6" s="144" t="s">
        <v>3</v>
      </c>
      <c r="D6" s="144" t="s">
        <v>4</v>
      </c>
      <c r="E6" s="144" t="s">
        <v>5</v>
      </c>
      <c r="F6" s="144" t="s">
        <v>6</v>
      </c>
      <c r="G6" s="144" t="s">
        <v>7</v>
      </c>
      <c r="H6" s="144" t="s">
        <v>8</v>
      </c>
      <c r="I6" s="144" t="s">
        <v>9</v>
      </c>
      <c r="J6" s="145" t="s">
        <v>10</v>
      </c>
      <c r="K6" s="144" t="s">
        <v>11</v>
      </c>
      <c r="L6" s="146" t="s">
        <v>12</v>
      </c>
      <c r="M6" s="146" t="s">
        <v>13</v>
      </c>
      <c r="N6" s="144" t="s">
        <v>14</v>
      </c>
      <c r="O6" s="144" t="s">
        <v>15</v>
      </c>
      <c r="P6" s="144" t="s">
        <v>16</v>
      </c>
      <c r="Q6" s="144" t="s">
        <v>17</v>
      </c>
      <c r="R6" s="144" t="s">
        <v>18</v>
      </c>
      <c r="S6" s="145" t="s">
        <v>19</v>
      </c>
      <c r="T6" s="144" t="s">
        <v>20</v>
      </c>
      <c r="U6" s="146" t="s">
        <v>21</v>
      </c>
      <c r="V6" s="127" t="s">
        <v>179</v>
      </c>
    </row>
    <row r="7" spans="1:22" ht="12.75" customHeight="1">
      <c r="A7" s="413" t="s">
        <v>23</v>
      </c>
      <c r="B7" s="413" t="s">
        <v>183</v>
      </c>
      <c r="C7" s="406" t="s">
        <v>24</v>
      </c>
      <c r="D7" s="406" t="s">
        <v>1262</v>
      </c>
      <c r="E7" s="455" t="s">
        <v>25</v>
      </c>
      <c r="F7" s="455"/>
      <c r="G7" s="455"/>
      <c r="H7" s="455"/>
      <c r="I7" s="455"/>
      <c r="J7" s="455"/>
      <c r="K7" s="455"/>
      <c r="L7" s="456"/>
      <c r="M7" s="455" t="s">
        <v>1467</v>
      </c>
      <c r="N7" s="455" t="s">
        <v>1466</v>
      </c>
      <c r="O7" s="455"/>
      <c r="P7" s="455"/>
      <c r="Q7" s="455"/>
      <c r="R7" s="455"/>
      <c r="S7" s="455"/>
      <c r="T7" s="455"/>
      <c r="U7" s="455"/>
      <c r="V7" s="520" t="s">
        <v>1012</v>
      </c>
    </row>
    <row r="8" spans="1:22" ht="12.75" customHeight="1">
      <c r="A8" s="413"/>
      <c r="B8" s="413"/>
      <c r="C8" s="406"/>
      <c r="D8" s="406"/>
      <c r="E8" s="405" t="s">
        <v>26</v>
      </c>
      <c r="F8" s="405"/>
      <c r="G8" s="405"/>
      <c r="H8" s="405"/>
      <c r="I8" s="405"/>
      <c r="J8" s="405" t="s">
        <v>27</v>
      </c>
      <c r="K8" s="405"/>
      <c r="L8" s="457"/>
      <c r="M8" s="455"/>
      <c r="N8" s="501" t="s">
        <v>26</v>
      </c>
      <c r="O8" s="501"/>
      <c r="P8" s="501"/>
      <c r="Q8" s="501"/>
      <c r="R8" s="501"/>
      <c r="S8" s="501" t="s">
        <v>27</v>
      </c>
      <c r="T8" s="501"/>
      <c r="U8" s="501"/>
      <c r="V8" s="520"/>
    </row>
    <row r="9" spans="1:22" ht="114.75" customHeight="1">
      <c r="A9" s="413"/>
      <c r="B9" s="413"/>
      <c r="C9" s="406"/>
      <c r="D9" s="406"/>
      <c r="E9" s="5" t="s">
        <v>28</v>
      </c>
      <c r="F9" s="5" t="s">
        <v>29</v>
      </c>
      <c r="G9" s="5" t="s">
        <v>30</v>
      </c>
      <c r="H9" s="5" t="s">
        <v>31</v>
      </c>
      <c r="I9" s="5" t="s">
        <v>32</v>
      </c>
      <c r="J9" s="5" t="s">
        <v>33</v>
      </c>
      <c r="K9" s="5" t="s">
        <v>34</v>
      </c>
      <c r="L9" s="114" t="s">
        <v>35</v>
      </c>
      <c r="M9" s="455"/>
      <c r="N9" s="40" t="s">
        <v>28</v>
      </c>
      <c r="O9" s="40" t="s">
        <v>29</v>
      </c>
      <c r="P9" s="40" t="s">
        <v>30</v>
      </c>
      <c r="Q9" s="40" t="s">
        <v>31</v>
      </c>
      <c r="R9" s="40" t="s">
        <v>32</v>
      </c>
      <c r="S9" s="40" t="s">
        <v>33</v>
      </c>
      <c r="T9" s="40" t="s">
        <v>34</v>
      </c>
      <c r="U9" s="40" t="s">
        <v>35</v>
      </c>
      <c r="V9" s="520"/>
    </row>
    <row r="10" spans="1:22" ht="18">
      <c r="A10" s="6" t="s">
        <v>151</v>
      </c>
      <c r="B10" s="6"/>
      <c r="C10" s="41" t="s">
        <v>39</v>
      </c>
      <c r="D10" s="10">
        <f>SUM(E10:L10)</f>
        <v>358679139</v>
      </c>
      <c r="E10" s="58">
        <f aca="true" t="shared" si="0" ref="E10:L10">SUM(E11:E27)</f>
        <v>968181</v>
      </c>
      <c r="F10" s="58">
        <f t="shared" si="0"/>
        <v>222612</v>
      </c>
      <c r="G10" s="58">
        <f t="shared" si="0"/>
        <v>138253598</v>
      </c>
      <c r="H10" s="58">
        <f t="shared" si="0"/>
        <v>0</v>
      </c>
      <c r="I10" s="58">
        <f t="shared" si="0"/>
        <v>219234748</v>
      </c>
      <c r="J10" s="58">
        <f t="shared" si="0"/>
        <v>0</v>
      </c>
      <c r="K10" s="58">
        <f t="shared" si="0"/>
        <v>0</v>
      </c>
      <c r="L10" s="64">
        <f t="shared" si="0"/>
        <v>0</v>
      </c>
      <c r="M10" s="10">
        <f aca="true" t="shared" si="1" ref="M10:M16">SUM(N10:U10)</f>
        <v>345351434</v>
      </c>
      <c r="N10" s="58">
        <f aca="true" t="shared" si="2" ref="N10:U10">SUM(N11:N27)</f>
        <v>1582181</v>
      </c>
      <c r="O10" s="58">
        <f t="shared" si="2"/>
        <v>330369</v>
      </c>
      <c r="P10" s="58">
        <f t="shared" si="2"/>
        <v>122413237</v>
      </c>
      <c r="Q10" s="58">
        <f t="shared" si="2"/>
        <v>0</v>
      </c>
      <c r="R10" s="58">
        <f t="shared" si="2"/>
        <v>221025647</v>
      </c>
      <c r="S10" s="58">
        <f t="shared" si="2"/>
        <v>0</v>
      </c>
      <c r="T10" s="58">
        <f t="shared" si="2"/>
        <v>0</v>
      </c>
      <c r="U10" s="64">
        <f t="shared" si="2"/>
        <v>0</v>
      </c>
      <c r="V10" s="520"/>
    </row>
    <row r="11" spans="1:22" ht="39" customHeight="1">
      <c r="A11" s="6"/>
      <c r="B11" s="6" t="s">
        <v>631</v>
      </c>
      <c r="C11" s="9" t="s">
        <v>633</v>
      </c>
      <c r="D11" s="52">
        <f>SUM(E11:L11)</f>
        <v>219000087</v>
      </c>
      <c r="E11" s="53">
        <v>0</v>
      </c>
      <c r="F11" s="53">
        <v>0</v>
      </c>
      <c r="G11" s="53">
        <v>54</v>
      </c>
      <c r="H11" s="53">
        <v>0</v>
      </c>
      <c r="I11" s="53">
        <v>219000033</v>
      </c>
      <c r="J11" s="53">
        <v>0</v>
      </c>
      <c r="K11" s="53">
        <v>0</v>
      </c>
      <c r="L11" s="115">
        <v>0</v>
      </c>
      <c r="M11" s="52">
        <f t="shared" si="1"/>
        <v>219000087</v>
      </c>
      <c r="N11" s="53">
        <v>0</v>
      </c>
      <c r="O11" s="53">
        <v>0</v>
      </c>
      <c r="P11" s="53">
        <v>54</v>
      </c>
      <c r="Q11" s="53">
        <v>0</v>
      </c>
      <c r="R11" s="53">
        <v>219000033</v>
      </c>
      <c r="S11" s="53">
        <v>0</v>
      </c>
      <c r="T11" s="53">
        <v>0</v>
      </c>
      <c r="U11" s="115">
        <v>0</v>
      </c>
      <c r="V11" s="128" t="s">
        <v>1225</v>
      </c>
    </row>
    <row r="12" spans="1:22" ht="30">
      <c r="A12" s="6"/>
      <c r="B12" s="6" t="s">
        <v>632</v>
      </c>
      <c r="C12" s="9" t="s">
        <v>635</v>
      </c>
      <c r="D12" s="52">
        <f>SUM(E12:L12)</f>
        <v>2062</v>
      </c>
      <c r="E12" s="53">
        <v>0</v>
      </c>
      <c r="F12" s="53">
        <v>0</v>
      </c>
      <c r="G12" s="53">
        <v>2062</v>
      </c>
      <c r="H12" s="53">
        <v>0</v>
      </c>
      <c r="I12" s="53">
        <v>0</v>
      </c>
      <c r="J12" s="53">
        <v>0</v>
      </c>
      <c r="K12" s="53">
        <v>0</v>
      </c>
      <c r="L12" s="115">
        <v>0</v>
      </c>
      <c r="M12" s="52">
        <f t="shared" si="1"/>
        <v>65555</v>
      </c>
      <c r="N12" s="53">
        <v>0</v>
      </c>
      <c r="O12" s="53">
        <v>0</v>
      </c>
      <c r="P12" s="53">
        <v>65555</v>
      </c>
      <c r="Q12" s="53">
        <v>0</v>
      </c>
      <c r="R12" s="53">
        <v>0</v>
      </c>
      <c r="S12" s="53">
        <v>0</v>
      </c>
      <c r="T12" s="53">
        <v>0</v>
      </c>
      <c r="U12" s="115">
        <v>0</v>
      </c>
      <c r="V12" s="128" t="s">
        <v>1226</v>
      </c>
    </row>
    <row r="13" spans="1:22" ht="27.75" customHeight="1">
      <c r="A13" s="6"/>
      <c r="B13" s="6" t="s">
        <v>634</v>
      </c>
      <c r="C13" s="9" t="s">
        <v>705</v>
      </c>
      <c r="D13" s="52">
        <f>SUM(E13:L13)</f>
        <v>15132732</v>
      </c>
      <c r="E13" s="53">
        <v>159551</v>
      </c>
      <c r="F13" s="53">
        <v>78660</v>
      </c>
      <c r="G13" s="53">
        <v>14806944</v>
      </c>
      <c r="H13" s="53">
        <v>0</v>
      </c>
      <c r="I13" s="53">
        <v>87577</v>
      </c>
      <c r="J13" s="53">
        <v>0</v>
      </c>
      <c r="K13" s="53">
        <v>0</v>
      </c>
      <c r="L13" s="115">
        <v>0</v>
      </c>
      <c r="M13" s="52">
        <f t="shared" si="1"/>
        <v>24161815</v>
      </c>
      <c r="N13" s="53">
        <v>159551</v>
      </c>
      <c r="O13" s="53">
        <v>78660</v>
      </c>
      <c r="P13" s="53">
        <v>21993165</v>
      </c>
      <c r="Q13" s="53">
        <v>0</v>
      </c>
      <c r="R13" s="53">
        <v>1930439</v>
      </c>
      <c r="S13" s="53">
        <v>0</v>
      </c>
      <c r="T13" s="53">
        <v>0</v>
      </c>
      <c r="U13" s="115">
        <v>0</v>
      </c>
      <c r="V13" s="128" t="s">
        <v>1227</v>
      </c>
    </row>
    <row r="14" spans="1:22" ht="30">
      <c r="A14" s="6"/>
      <c r="B14" s="6" t="s">
        <v>636</v>
      </c>
      <c r="C14" s="9" t="s">
        <v>1295</v>
      </c>
      <c r="D14" s="52">
        <f>SUM(E14:L14)</f>
        <v>408888</v>
      </c>
      <c r="E14" s="53">
        <v>194630</v>
      </c>
      <c r="F14" s="53">
        <v>11347</v>
      </c>
      <c r="G14" s="53">
        <v>202911</v>
      </c>
      <c r="H14" s="53">
        <v>0</v>
      </c>
      <c r="I14" s="53">
        <v>0</v>
      </c>
      <c r="J14" s="53">
        <v>0</v>
      </c>
      <c r="K14" s="53">
        <v>0</v>
      </c>
      <c r="L14" s="115">
        <v>0</v>
      </c>
      <c r="M14" s="52">
        <f t="shared" si="1"/>
        <v>408888</v>
      </c>
      <c r="N14" s="53">
        <v>194630</v>
      </c>
      <c r="O14" s="53">
        <v>11347</v>
      </c>
      <c r="P14" s="53">
        <v>202911</v>
      </c>
      <c r="Q14" s="53">
        <v>0</v>
      </c>
      <c r="R14" s="53">
        <v>0</v>
      </c>
      <c r="S14" s="53">
        <v>0</v>
      </c>
      <c r="T14" s="53">
        <v>0</v>
      </c>
      <c r="U14" s="115">
        <v>0</v>
      </c>
      <c r="V14" s="154">
        <v>58320</v>
      </c>
    </row>
    <row r="15" spans="1:22" ht="30">
      <c r="A15" s="6"/>
      <c r="B15" s="6" t="s">
        <v>637</v>
      </c>
      <c r="C15" s="9" t="s">
        <v>1296</v>
      </c>
      <c r="D15" s="52">
        <f aca="true" t="shared" si="3" ref="D15:D27">SUM(E15:L15)</f>
        <v>2000000</v>
      </c>
      <c r="E15" s="53">
        <v>0</v>
      </c>
      <c r="F15" s="53">
        <v>0</v>
      </c>
      <c r="G15" s="53">
        <v>2000000</v>
      </c>
      <c r="H15" s="53">
        <v>0</v>
      </c>
      <c r="I15" s="53">
        <v>0</v>
      </c>
      <c r="J15" s="53">
        <v>0</v>
      </c>
      <c r="K15" s="53">
        <v>0</v>
      </c>
      <c r="L15" s="115">
        <v>0</v>
      </c>
      <c r="M15" s="52">
        <f t="shared" si="1"/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115">
        <v>0</v>
      </c>
      <c r="V15" s="154">
        <v>58321</v>
      </c>
    </row>
    <row r="16" spans="1:22" ht="50.25" customHeight="1">
      <c r="A16" s="6"/>
      <c r="B16" s="6" t="s">
        <v>638</v>
      </c>
      <c r="C16" s="9" t="s">
        <v>706</v>
      </c>
      <c r="D16" s="52">
        <f>SUM(E16:L16)</f>
        <v>14945750</v>
      </c>
      <c r="E16" s="53">
        <v>0</v>
      </c>
      <c r="F16" s="53">
        <v>0</v>
      </c>
      <c r="G16" s="53">
        <v>14945750</v>
      </c>
      <c r="H16" s="53">
        <v>0</v>
      </c>
      <c r="I16" s="53">
        <v>0</v>
      </c>
      <c r="J16" s="53">
        <v>0</v>
      </c>
      <c r="K16" s="53">
        <v>0</v>
      </c>
      <c r="L16" s="115">
        <v>0</v>
      </c>
      <c r="M16" s="52">
        <f t="shared" si="1"/>
        <v>14945750</v>
      </c>
      <c r="N16" s="53">
        <v>0</v>
      </c>
      <c r="O16" s="53">
        <v>0</v>
      </c>
      <c r="P16" s="53">
        <v>14945750</v>
      </c>
      <c r="Q16" s="53">
        <v>0</v>
      </c>
      <c r="R16" s="53">
        <v>0</v>
      </c>
      <c r="S16" s="53">
        <v>0</v>
      </c>
      <c r="T16" s="53">
        <v>0</v>
      </c>
      <c r="U16" s="115">
        <v>0</v>
      </c>
      <c r="V16" s="128">
        <v>58307</v>
      </c>
    </row>
    <row r="17" spans="1:22" ht="45">
      <c r="A17" s="6"/>
      <c r="B17" s="6" t="s">
        <v>640</v>
      </c>
      <c r="C17" s="9" t="s">
        <v>681</v>
      </c>
      <c r="D17" s="52">
        <f t="shared" si="3"/>
        <v>2814370</v>
      </c>
      <c r="E17" s="53">
        <v>0</v>
      </c>
      <c r="F17" s="53">
        <v>0</v>
      </c>
      <c r="G17" s="53">
        <v>2814370</v>
      </c>
      <c r="H17" s="53">
        <v>0</v>
      </c>
      <c r="I17" s="53">
        <v>0</v>
      </c>
      <c r="J17" s="53">
        <v>0</v>
      </c>
      <c r="K17" s="53">
        <v>0</v>
      </c>
      <c r="L17" s="115">
        <v>0</v>
      </c>
      <c r="M17" s="52">
        <f aca="true" t="shared" si="4" ref="M17:M22">SUM(N17:U17)</f>
        <v>2814370</v>
      </c>
      <c r="N17" s="53">
        <v>0</v>
      </c>
      <c r="O17" s="53">
        <v>0</v>
      </c>
      <c r="P17" s="53">
        <v>2814370</v>
      </c>
      <c r="Q17" s="53">
        <v>0</v>
      </c>
      <c r="R17" s="53">
        <v>0</v>
      </c>
      <c r="S17" s="53">
        <v>0</v>
      </c>
      <c r="T17" s="53">
        <v>0</v>
      </c>
      <c r="U17" s="115">
        <v>0</v>
      </c>
      <c r="V17" s="128">
        <v>58308</v>
      </c>
    </row>
    <row r="18" spans="1:22" ht="30">
      <c r="A18" s="6"/>
      <c r="B18" s="6" t="s">
        <v>674</v>
      </c>
      <c r="C18" s="9" t="s">
        <v>682</v>
      </c>
      <c r="D18" s="52">
        <f t="shared" si="3"/>
        <v>1161166</v>
      </c>
      <c r="E18" s="53">
        <v>0</v>
      </c>
      <c r="F18" s="53">
        <v>0</v>
      </c>
      <c r="G18" s="53">
        <v>1161166</v>
      </c>
      <c r="H18" s="53">
        <v>0</v>
      </c>
      <c r="I18" s="53">
        <v>0</v>
      </c>
      <c r="J18" s="53">
        <v>0</v>
      </c>
      <c r="K18" s="53">
        <v>0</v>
      </c>
      <c r="L18" s="115">
        <v>0</v>
      </c>
      <c r="M18" s="52">
        <f t="shared" si="4"/>
        <v>1161166</v>
      </c>
      <c r="N18" s="53">
        <v>0</v>
      </c>
      <c r="O18" s="53">
        <v>0</v>
      </c>
      <c r="P18" s="53">
        <v>1161166</v>
      </c>
      <c r="Q18" s="53">
        <v>0</v>
      </c>
      <c r="R18" s="53">
        <v>0</v>
      </c>
      <c r="S18" s="53">
        <v>0</v>
      </c>
      <c r="T18" s="53">
        <v>0</v>
      </c>
      <c r="U18" s="115">
        <v>0</v>
      </c>
      <c r="V18" s="128">
        <v>58309</v>
      </c>
    </row>
    <row r="19" spans="1:22" ht="30">
      <c r="A19" s="6"/>
      <c r="B19" s="6" t="s">
        <v>675</v>
      </c>
      <c r="C19" s="9" t="s">
        <v>683</v>
      </c>
      <c r="D19" s="52">
        <f t="shared" si="3"/>
        <v>730631</v>
      </c>
      <c r="E19" s="53">
        <v>0</v>
      </c>
      <c r="F19" s="53">
        <v>0</v>
      </c>
      <c r="G19" s="53">
        <v>730631</v>
      </c>
      <c r="H19" s="53">
        <v>0</v>
      </c>
      <c r="I19" s="53">
        <v>0</v>
      </c>
      <c r="J19" s="53">
        <v>0</v>
      </c>
      <c r="K19" s="53">
        <v>0</v>
      </c>
      <c r="L19" s="115">
        <v>0</v>
      </c>
      <c r="M19" s="52">
        <f t="shared" si="4"/>
        <v>730631</v>
      </c>
      <c r="N19" s="53">
        <v>0</v>
      </c>
      <c r="O19" s="53">
        <v>0</v>
      </c>
      <c r="P19" s="53">
        <v>730631</v>
      </c>
      <c r="Q19" s="53">
        <v>0</v>
      </c>
      <c r="R19" s="53">
        <v>0</v>
      </c>
      <c r="S19" s="53">
        <v>0</v>
      </c>
      <c r="T19" s="53">
        <v>0</v>
      </c>
      <c r="U19" s="115">
        <v>0</v>
      </c>
      <c r="V19" s="128">
        <v>58310</v>
      </c>
    </row>
    <row r="20" spans="1:22" ht="45" customHeight="1">
      <c r="A20" s="6"/>
      <c r="B20" s="6" t="s">
        <v>676</v>
      </c>
      <c r="C20" s="9" t="s">
        <v>684</v>
      </c>
      <c r="D20" s="52">
        <f t="shared" si="3"/>
        <v>12188094</v>
      </c>
      <c r="E20" s="53">
        <v>0</v>
      </c>
      <c r="F20" s="53">
        <v>0</v>
      </c>
      <c r="G20" s="53">
        <v>12188094</v>
      </c>
      <c r="H20" s="53">
        <v>0</v>
      </c>
      <c r="I20" s="53">
        <v>0</v>
      </c>
      <c r="J20" s="53">
        <v>0</v>
      </c>
      <c r="K20" s="53">
        <v>0</v>
      </c>
      <c r="L20" s="115">
        <v>0</v>
      </c>
      <c r="M20" s="52">
        <f t="shared" si="4"/>
        <v>12188094</v>
      </c>
      <c r="N20" s="53">
        <v>0</v>
      </c>
      <c r="O20" s="53">
        <v>0</v>
      </c>
      <c r="P20" s="53">
        <v>12188094</v>
      </c>
      <c r="Q20" s="53">
        <v>0</v>
      </c>
      <c r="R20" s="53">
        <v>0</v>
      </c>
      <c r="S20" s="53">
        <v>0</v>
      </c>
      <c r="T20" s="53">
        <v>0</v>
      </c>
      <c r="U20" s="115">
        <v>0</v>
      </c>
      <c r="V20" s="128">
        <v>58311</v>
      </c>
    </row>
    <row r="21" spans="1:22" ht="45" customHeight="1">
      <c r="A21" s="6"/>
      <c r="B21" s="6" t="s">
        <v>677</v>
      </c>
      <c r="C21" s="9" t="s">
        <v>685</v>
      </c>
      <c r="D21" s="52">
        <f t="shared" si="3"/>
        <v>29965285</v>
      </c>
      <c r="E21" s="53">
        <v>0</v>
      </c>
      <c r="F21" s="53">
        <v>0</v>
      </c>
      <c r="G21" s="53">
        <v>29965285</v>
      </c>
      <c r="H21" s="53">
        <v>0</v>
      </c>
      <c r="I21" s="53">
        <v>0</v>
      </c>
      <c r="J21" s="53">
        <v>0</v>
      </c>
      <c r="K21" s="53">
        <v>0</v>
      </c>
      <c r="L21" s="115">
        <v>0</v>
      </c>
      <c r="M21" s="52">
        <f t="shared" si="4"/>
        <v>29965285</v>
      </c>
      <c r="N21" s="53">
        <v>0</v>
      </c>
      <c r="O21" s="53">
        <v>0</v>
      </c>
      <c r="P21" s="53">
        <v>29965285</v>
      </c>
      <c r="Q21" s="53">
        <v>0</v>
      </c>
      <c r="R21" s="53">
        <v>0</v>
      </c>
      <c r="S21" s="53">
        <v>0</v>
      </c>
      <c r="T21" s="53">
        <v>0</v>
      </c>
      <c r="U21" s="115">
        <v>0</v>
      </c>
      <c r="V21" s="128">
        <v>58312</v>
      </c>
    </row>
    <row r="22" spans="1:22" ht="45" customHeight="1">
      <c r="A22" s="6"/>
      <c r="B22" s="6" t="s">
        <v>678</v>
      </c>
      <c r="C22" s="9" t="s">
        <v>686</v>
      </c>
      <c r="D22" s="52">
        <f t="shared" si="3"/>
        <v>19153446</v>
      </c>
      <c r="E22" s="53">
        <v>0</v>
      </c>
      <c r="F22" s="53">
        <v>0</v>
      </c>
      <c r="G22" s="53">
        <v>19153446</v>
      </c>
      <c r="H22" s="53">
        <v>0</v>
      </c>
      <c r="I22" s="53">
        <v>0</v>
      </c>
      <c r="J22" s="53">
        <v>0</v>
      </c>
      <c r="K22" s="53">
        <v>0</v>
      </c>
      <c r="L22" s="115">
        <v>0</v>
      </c>
      <c r="M22" s="52">
        <f t="shared" si="4"/>
        <v>19153446</v>
      </c>
      <c r="N22" s="53">
        <v>0</v>
      </c>
      <c r="O22" s="53">
        <v>0</v>
      </c>
      <c r="P22" s="53">
        <v>19153446</v>
      </c>
      <c r="Q22" s="53">
        <v>0</v>
      </c>
      <c r="R22" s="53">
        <v>0</v>
      </c>
      <c r="S22" s="53">
        <v>0</v>
      </c>
      <c r="T22" s="53">
        <v>0</v>
      </c>
      <c r="U22" s="115">
        <v>0</v>
      </c>
      <c r="V22" s="128">
        <v>58313</v>
      </c>
    </row>
    <row r="23" spans="1:22" ht="48" customHeight="1">
      <c r="A23" s="6"/>
      <c r="B23" s="6" t="s">
        <v>679</v>
      </c>
      <c r="C23" s="88" t="s">
        <v>810</v>
      </c>
      <c r="D23" s="52">
        <f>SUM(E23:L23)</f>
        <v>12532208</v>
      </c>
      <c r="E23" s="53">
        <v>614000</v>
      </c>
      <c r="F23" s="53">
        <v>132605</v>
      </c>
      <c r="G23" s="53">
        <v>11785603</v>
      </c>
      <c r="H23" s="53">
        <v>0</v>
      </c>
      <c r="I23" s="53">
        <v>0</v>
      </c>
      <c r="J23" s="53">
        <v>0</v>
      </c>
      <c r="K23" s="53">
        <v>0</v>
      </c>
      <c r="L23" s="115">
        <v>0</v>
      </c>
      <c r="M23" s="52">
        <f aca="true" t="shared" si="5" ref="M23:M30">SUM(N23:U23)</f>
        <v>15357517</v>
      </c>
      <c r="N23" s="53">
        <v>1228000</v>
      </c>
      <c r="O23" s="53">
        <v>240362</v>
      </c>
      <c r="P23" s="53">
        <v>13889155</v>
      </c>
      <c r="Q23" s="53">
        <v>0</v>
      </c>
      <c r="R23" s="53">
        <v>0</v>
      </c>
      <c r="S23" s="53">
        <v>0</v>
      </c>
      <c r="T23" s="53">
        <v>0</v>
      </c>
      <c r="U23" s="115">
        <v>0</v>
      </c>
      <c r="V23" s="128" t="s">
        <v>1228</v>
      </c>
    </row>
    <row r="24" spans="1:22" ht="35.25" customHeight="1">
      <c r="A24" s="6"/>
      <c r="B24" s="6" t="s">
        <v>680</v>
      </c>
      <c r="C24" s="9" t="s">
        <v>1246</v>
      </c>
      <c r="D24" s="52">
        <f>SUM(E24:L24)</f>
        <v>4746491</v>
      </c>
      <c r="E24" s="53">
        <v>0</v>
      </c>
      <c r="F24" s="53">
        <v>0</v>
      </c>
      <c r="G24" s="53">
        <v>4709069</v>
      </c>
      <c r="H24" s="53">
        <v>0</v>
      </c>
      <c r="I24" s="53">
        <v>37422</v>
      </c>
      <c r="J24" s="53">
        <v>0</v>
      </c>
      <c r="K24" s="53">
        <v>0</v>
      </c>
      <c r="L24" s="115">
        <v>0</v>
      </c>
      <c r="M24" s="52">
        <f t="shared" si="5"/>
        <v>2746491</v>
      </c>
      <c r="N24" s="53">
        <v>0</v>
      </c>
      <c r="O24" s="53">
        <v>0</v>
      </c>
      <c r="P24" s="53">
        <v>2709069</v>
      </c>
      <c r="Q24" s="53">
        <v>0</v>
      </c>
      <c r="R24" s="53">
        <v>37422</v>
      </c>
      <c r="S24" s="53">
        <v>0</v>
      </c>
      <c r="T24" s="53">
        <v>0</v>
      </c>
      <c r="U24" s="115">
        <v>0</v>
      </c>
      <c r="V24" s="128" t="s">
        <v>1229</v>
      </c>
    </row>
    <row r="25" spans="1:22" ht="35.25" customHeight="1">
      <c r="A25" s="6"/>
      <c r="B25" s="6" t="s">
        <v>701</v>
      </c>
      <c r="C25" s="9" t="s">
        <v>1247</v>
      </c>
      <c r="D25" s="52">
        <f>SUM(E25:L25)</f>
        <v>4652339</v>
      </c>
      <c r="E25" s="53">
        <v>0</v>
      </c>
      <c r="F25" s="53">
        <v>0</v>
      </c>
      <c r="G25" s="53">
        <v>4594586</v>
      </c>
      <c r="H25" s="53">
        <v>0</v>
      </c>
      <c r="I25" s="53">
        <v>57753</v>
      </c>
      <c r="J25" s="53">
        <v>0</v>
      </c>
      <c r="K25" s="53">
        <v>0</v>
      </c>
      <c r="L25" s="115">
        <v>0</v>
      </c>
      <c r="M25" s="52">
        <f t="shared" si="5"/>
        <v>2652339</v>
      </c>
      <c r="N25" s="53">
        <v>0</v>
      </c>
      <c r="O25" s="53">
        <v>0</v>
      </c>
      <c r="P25" s="53">
        <v>2594586</v>
      </c>
      <c r="Q25" s="53">
        <v>0</v>
      </c>
      <c r="R25" s="53">
        <v>57753</v>
      </c>
      <c r="S25" s="53">
        <v>0</v>
      </c>
      <c r="T25" s="53">
        <v>0</v>
      </c>
      <c r="U25" s="115">
        <v>0</v>
      </c>
      <c r="V25" s="128" t="s">
        <v>1230</v>
      </c>
    </row>
    <row r="26" spans="1:22" ht="18">
      <c r="A26" s="6"/>
      <c r="B26" s="6" t="s">
        <v>1435</v>
      </c>
      <c r="C26" s="9" t="s">
        <v>1297</v>
      </c>
      <c r="D26" s="52">
        <f>SUM(E26:L26)</f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115">
        <v>0</v>
      </c>
      <c r="M26" s="52">
        <f t="shared" si="5"/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115">
        <v>0</v>
      </c>
      <c r="V26" s="128">
        <v>58322</v>
      </c>
    </row>
    <row r="27" spans="1:22" ht="18">
      <c r="A27" s="6"/>
      <c r="B27" s="6" t="s">
        <v>1436</v>
      </c>
      <c r="C27" s="9" t="s">
        <v>639</v>
      </c>
      <c r="D27" s="52">
        <f t="shared" si="3"/>
        <v>19245590</v>
      </c>
      <c r="E27" s="53">
        <v>0</v>
      </c>
      <c r="F27" s="53">
        <v>0</v>
      </c>
      <c r="G27" s="53">
        <v>19193627</v>
      </c>
      <c r="H27" s="53">
        <v>0</v>
      </c>
      <c r="I27" s="53">
        <v>51963</v>
      </c>
      <c r="J27" s="53">
        <v>0</v>
      </c>
      <c r="K27" s="53">
        <v>0</v>
      </c>
      <c r="L27" s="115">
        <v>0</v>
      </c>
      <c r="M27" s="52">
        <f t="shared" si="5"/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115">
        <v>0</v>
      </c>
      <c r="V27" s="128">
        <v>58318</v>
      </c>
    </row>
    <row r="28" spans="1:22" ht="18">
      <c r="A28" s="6" t="s">
        <v>152</v>
      </c>
      <c r="B28" s="6"/>
      <c r="C28" s="41" t="s">
        <v>41</v>
      </c>
      <c r="D28" s="10">
        <f>SUM(E28:L28)</f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64">
        <v>0</v>
      </c>
      <c r="M28" s="10">
        <f t="shared" si="5"/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64">
        <v>0</v>
      </c>
      <c r="V28" s="128"/>
    </row>
    <row r="29" spans="1:22" ht="18">
      <c r="A29" s="6" t="s">
        <v>153</v>
      </c>
      <c r="B29" s="6"/>
      <c r="C29" s="41" t="s">
        <v>43</v>
      </c>
      <c r="D29" s="10">
        <f>SUM(E29:L29)</f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61">
        <v>0</v>
      </c>
      <c r="M29" s="10">
        <f t="shared" si="5"/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61">
        <v>0</v>
      </c>
      <c r="V29" s="128"/>
    </row>
    <row r="30" spans="1:22" ht="33" customHeight="1">
      <c r="A30" s="454" t="s">
        <v>286</v>
      </c>
      <c r="B30" s="454"/>
      <c r="C30" s="454"/>
      <c r="D30" s="10">
        <f>SUM(E30:L30)</f>
        <v>358679139</v>
      </c>
      <c r="E30" s="58">
        <f aca="true" t="shared" si="6" ref="E30:L30">E10+E28+E29</f>
        <v>968181</v>
      </c>
      <c r="F30" s="58">
        <f t="shared" si="6"/>
        <v>222612</v>
      </c>
      <c r="G30" s="58">
        <f t="shared" si="6"/>
        <v>138253598</v>
      </c>
      <c r="H30" s="58">
        <f t="shared" si="6"/>
        <v>0</v>
      </c>
      <c r="I30" s="58">
        <f t="shared" si="6"/>
        <v>219234748</v>
      </c>
      <c r="J30" s="58">
        <f t="shared" si="6"/>
        <v>0</v>
      </c>
      <c r="K30" s="58">
        <f t="shared" si="6"/>
        <v>0</v>
      </c>
      <c r="L30" s="64">
        <f t="shared" si="6"/>
        <v>0</v>
      </c>
      <c r="M30" s="10">
        <f t="shared" si="5"/>
        <v>345351434</v>
      </c>
      <c r="N30" s="58">
        <f aca="true" t="shared" si="7" ref="N30:U30">N10+N28+N29</f>
        <v>1582181</v>
      </c>
      <c r="O30" s="58">
        <f t="shared" si="7"/>
        <v>330369</v>
      </c>
      <c r="P30" s="58">
        <f t="shared" si="7"/>
        <v>122413237</v>
      </c>
      <c r="Q30" s="58">
        <f t="shared" si="7"/>
        <v>0</v>
      </c>
      <c r="R30" s="58">
        <f t="shared" si="7"/>
        <v>221025647</v>
      </c>
      <c r="S30" s="58">
        <f t="shared" si="7"/>
        <v>0</v>
      </c>
      <c r="T30" s="58">
        <f t="shared" si="7"/>
        <v>0</v>
      </c>
      <c r="U30" s="64">
        <f t="shared" si="7"/>
        <v>0</v>
      </c>
      <c r="V30" s="128"/>
    </row>
    <row r="31" s="82" customFormat="1" ht="14.25"/>
    <row r="32" s="82" customFormat="1" ht="14.25"/>
    <row r="33" spans="10:21" s="82" customFormat="1" ht="14.25">
      <c r="J33" s="87"/>
      <c r="K33" s="87"/>
      <c r="L33" s="87"/>
      <c r="S33" s="87"/>
      <c r="T33" s="87"/>
      <c r="U33" s="87"/>
    </row>
    <row r="34" spans="10:21" s="82" customFormat="1" ht="14.25">
      <c r="J34" s="87"/>
      <c r="K34" s="87"/>
      <c r="L34" s="87"/>
      <c r="S34" s="87"/>
      <c r="T34" s="87"/>
      <c r="U34" s="87"/>
    </row>
    <row r="35" spans="10:21" s="82" customFormat="1" ht="14.25">
      <c r="J35" s="87"/>
      <c r="K35" s="87"/>
      <c r="L35" s="87"/>
      <c r="S35" s="87"/>
      <c r="T35" s="87"/>
      <c r="U35" s="87"/>
    </row>
    <row r="36" spans="10:21" ht="12.75">
      <c r="J36" s="11"/>
      <c r="K36" s="11"/>
      <c r="L36" s="11"/>
      <c r="S36" s="11"/>
      <c r="T36" s="11"/>
      <c r="U36" s="11"/>
    </row>
    <row r="37" spans="10:21" ht="12.75">
      <c r="J37" s="11"/>
      <c r="K37" s="11" t="s">
        <v>428</v>
      </c>
      <c r="L37" s="11"/>
      <c r="S37" s="11"/>
      <c r="T37" s="11" t="s">
        <v>428</v>
      </c>
      <c r="U37" s="11"/>
    </row>
  </sheetData>
  <sheetProtection selectLockedCells="1" selectUnlockedCells="1"/>
  <mergeCells count="17">
    <mergeCell ref="J8:L8"/>
    <mergeCell ref="M7:M9"/>
    <mergeCell ref="N8:R8"/>
    <mergeCell ref="S8:U8"/>
    <mergeCell ref="V7:V10"/>
    <mergeCell ref="A7:A9"/>
    <mergeCell ref="E8:I8"/>
    <mergeCell ref="A30:C30"/>
    <mergeCell ref="B7:B9"/>
    <mergeCell ref="E7:L7"/>
    <mergeCell ref="C7:C9"/>
    <mergeCell ref="D7:D9"/>
    <mergeCell ref="A1:V1"/>
    <mergeCell ref="A3:V3"/>
    <mergeCell ref="A4:V4"/>
    <mergeCell ref="N7:U7"/>
    <mergeCell ref="A2:V2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3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V53"/>
  <sheetViews>
    <sheetView view="pageBreakPreview" zoomScale="65" zoomScaleNormal="70" zoomScaleSheetLayoutView="65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:V1"/>
    </sheetView>
  </sheetViews>
  <sheetFormatPr defaultColWidth="9.140625" defaultRowHeight="12.75"/>
  <cols>
    <col min="1" max="1" width="6.57421875" style="0" customWidth="1"/>
    <col min="3" max="3" width="76.28125" style="0" customWidth="1"/>
    <col min="4" max="4" width="22.421875" style="0" customWidth="1"/>
    <col min="5" max="5" width="19.28125" style="0" bestFit="1" customWidth="1"/>
    <col min="6" max="6" width="16.421875" style="0" customWidth="1"/>
    <col min="7" max="7" width="21.140625" style="0" customWidth="1"/>
    <col min="8" max="8" width="19.421875" style="0" customWidth="1"/>
    <col min="9" max="9" width="25.8515625" style="0" customWidth="1"/>
    <col min="10" max="10" width="22.140625" style="0" customWidth="1"/>
    <col min="11" max="11" width="20.28125" style="0" customWidth="1"/>
    <col min="12" max="12" width="17.140625" style="0" customWidth="1"/>
    <col min="13" max="13" width="22.421875" style="0" customWidth="1"/>
    <col min="14" max="14" width="19.28125" style="0" bestFit="1" customWidth="1"/>
    <col min="15" max="15" width="16.421875" style="0" customWidth="1"/>
    <col min="16" max="16" width="21.140625" style="0" customWidth="1"/>
    <col min="17" max="17" width="19.421875" style="0" customWidth="1"/>
    <col min="18" max="18" width="23.28125" style="0" customWidth="1"/>
    <col min="19" max="19" width="22.140625" style="0" customWidth="1"/>
    <col min="20" max="20" width="20.28125" style="0" customWidth="1"/>
    <col min="21" max="21" width="19.00390625" style="0" customWidth="1"/>
    <col min="22" max="22" width="16.140625" style="0" customWidth="1"/>
  </cols>
  <sheetData>
    <row r="1" spans="1:22" ht="20.25" customHeight="1">
      <c r="A1" s="499" t="s">
        <v>1553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</row>
    <row r="2" spans="1:22" ht="18">
      <c r="A2" s="416" t="s">
        <v>1526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</row>
    <row r="3" spans="1:22" ht="18" customHeight="1">
      <c r="A3" s="423" t="s">
        <v>1308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</row>
    <row r="4" spans="1:22" ht="20.25" customHeight="1">
      <c r="A4" s="497" t="s">
        <v>1309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V5" s="111" t="s">
        <v>1507</v>
      </c>
    </row>
    <row r="6" spans="1:22" ht="14.2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60" t="s">
        <v>10</v>
      </c>
      <c r="K6" s="116" t="s">
        <v>11</v>
      </c>
      <c r="L6" s="2" t="s">
        <v>12</v>
      </c>
      <c r="M6" s="337" t="s">
        <v>13</v>
      </c>
      <c r="N6" s="144" t="s">
        <v>14</v>
      </c>
      <c r="O6" s="144" t="s">
        <v>15</v>
      </c>
      <c r="P6" s="144" t="s">
        <v>16</v>
      </c>
      <c r="Q6" s="144" t="s">
        <v>17</v>
      </c>
      <c r="R6" s="144" t="s">
        <v>18</v>
      </c>
      <c r="S6" s="145" t="s">
        <v>19</v>
      </c>
      <c r="T6" s="144" t="s">
        <v>20</v>
      </c>
      <c r="U6" s="146" t="s">
        <v>21</v>
      </c>
      <c r="V6" s="127" t="s">
        <v>179</v>
      </c>
    </row>
    <row r="7" spans="1:22" ht="12.75" customHeight="1">
      <c r="A7" s="413" t="s">
        <v>23</v>
      </c>
      <c r="B7" s="413" t="s">
        <v>183</v>
      </c>
      <c r="C7" s="406" t="s">
        <v>24</v>
      </c>
      <c r="D7" s="406" t="s">
        <v>1262</v>
      </c>
      <c r="E7" s="455" t="s">
        <v>25</v>
      </c>
      <c r="F7" s="455"/>
      <c r="G7" s="455"/>
      <c r="H7" s="455"/>
      <c r="I7" s="455"/>
      <c r="J7" s="455"/>
      <c r="K7" s="455"/>
      <c r="L7" s="456"/>
      <c r="M7" s="455" t="s">
        <v>1467</v>
      </c>
      <c r="N7" s="455" t="s">
        <v>1466</v>
      </c>
      <c r="O7" s="455"/>
      <c r="P7" s="455"/>
      <c r="Q7" s="455"/>
      <c r="R7" s="455"/>
      <c r="S7" s="455"/>
      <c r="T7" s="455"/>
      <c r="U7" s="455"/>
      <c r="V7" s="520" t="s">
        <v>1012</v>
      </c>
    </row>
    <row r="8" spans="1:22" ht="12.75" customHeight="1">
      <c r="A8" s="413"/>
      <c r="B8" s="413"/>
      <c r="C8" s="406"/>
      <c r="D8" s="406"/>
      <c r="E8" s="405" t="s">
        <v>26</v>
      </c>
      <c r="F8" s="405"/>
      <c r="G8" s="405"/>
      <c r="H8" s="405"/>
      <c r="I8" s="405"/>
      <c r="J8" s="405" t="s">
        <v>27</v>
      </c>
      <c r="K8" s="405"/>
      <c r="L8" s="457"/>
      <c r="M8" s="455"/>
      <c r="N8" s="501" t="s">
        <v>26</v>
      </c>
      <c r="O8" s="501"/>
      <c r="P8" s="501"/>
      <c r="Q8" s="501"/>
      <c r="R8" s="501"/>
      <c r="S8" s="501" t="s">
        <v>27</v>
      </c>
      <c r="T8" s="501"/>
      <c r="U8" s="501"/>
      <c r="V8" s="520"/>
    </row>
    <row r="9" spans="1:22" ht="90" customHeight="1">
      <c r="A9" s="413"/>
      <c r="B9" s="413"/>
      <c r="C9" s="406"/>
      <c r="D9" s="406"/>
      <c r="E9" s="5" t="s">
        <v>28</v>
      </c>
      <c r="F9" s="5" t="s">
        <v>29</v>
      </c>
      <c r="G9" s="5" t="s">
        <v>30</v>
      </c>
      <c r="H9" s="5" t="s">
        <v>31</v>
      </c>
      <c r="I9" s="5" t="s">
        <v>32</v>
      </c>
      <c r="J9" s="5" t="s">
        <v>33</v>
      </c>
      <c r="K9" s="5" t="s">
        <v>34</v>
      </c>
      <c r="L9" s="114" t="s">
        <v>35</v>
      </c>
      <c r="M9" s="455"/>
      <c r="N9" s="40" t="s">
        <v>28</v>
      </c>
      <c r="O9" s="40" t="s">
        <v>29</v>
      </c>
      <c r="P9" s="40" t="s">
        <v>30</v>
      </c>
      <c r="Q9" s="40" t="s">
        <v>31</v>
      </c>
      <c r="R9" s="40" t="s">
        <v>32</v>
      </c>
      <c r="S9" s="40" t="s">
        <v>33</v>
      </c>
      <c r="T9" s="40" t="s">
        <v>34</v>
      </c>
      <c r="U9" s="40" t="s">
        <v>35</v>
      </c>
      <c r="V9" s="520"/>
    </row>
    <row r="10" spans="1:22" ht="18">
      <c r="A10" s="6" t="s">
        <v>156</v>
      </c>
      <c r="B10" s="6"/>
      <c r="C10" s="176" t="s">
        <v>39</v>
      </c>
      <c r="D10" s="10">
        <f>SUM(E10:L10)</f>
        <v>6766074080</v>
      </c>
      <c r="E10" s="58">
        <f aca="true" t="shared" si="0" ref="E10:L10">SUM(E11:E29)</f>
        <v>251260</v>
      </c>
      <c r="F10" s="58">
        <f t="shared" si="0"/>
        <v>430572</v>
      </c>
      <c r="G10" s="58">
        <f>SUM(G11:G29)</f>
        <v>1754007790</v>
      </c>
      <c r="H10" s="58">
        <f t="shared" si="0"/>
        <v>0</v>
      </c>
      <c r="I10" s="58">
        <f t="shared" si="0"/>
        <v>0</v>
      </c>
      <c r="J10" s="58">
        <f>SUM(J11:J29)</f>
        <v>4979203668</v>
      </c>
      <c r="K10" s="58">
        <f>SUM(K11:K29)</f>
        <v>29680790</v>
      </c>
      <c r="L10" s="64">
        <f t="shared" si="0"/>
        <v>2500000</v>
      </c>
      <c r="M10" s="10">
        <f aca="true" t="shared" si="1" ref="M10:M18">SUM(N10:U10)</f>
        <v>7453370196</v>
      </c>
      <c r="N10" s="58">
        <f aca="true" t="shared" si="2" ref="N10:U10">SUM(N11:N29)</f>
        <v>7867720</v>
      </c>
      <c r="O10" s="58">
        <f t="shared" si="2"/>
        <v>707431</v>
      </c>
      <c r="P10" s="58">
        <f t="shared" si="2"/>
        <v>2193456078</v>
      </c>
      <c r="Q10" s="58">
        <f t="shared" si="2"/>
        <v>0</v>
      </c>
      <c r="R10" s="58">
        <f t="shared" si="2"/>
        <v>0</v>
      </c>
      <c r="S10" s="58">
        <f t="shared" si="2"/>
        <v>5221745349</v>
      </c>
      <c r="T10" s="58">
        <f t="shared" si="2"/>
        <v>27093618</v>
      </c>
      <c r="U10" s="64">
        <f t="shared" si="2"/>
        <v>2500000</v>
      </c>
      <c r="V10" s="520"/>
    </row>
    <row r="11" spans="1:22" ht="18">
      <c r="A11" s="6"/>
      <c r="B11" s="6" t="s">
        <v>1310</v>
      </c>
      <c r="C11" s="177" t="s">
        <v>1311</v>
      </c>
      <c r="D11" s="52">
        <f>SUM(E11:L11)</f>
        <v>179434831</v>
      </c>
      <c r="E11" s="53">
        <v>251260</v>
      </c>
      <c r="F11" s="53">
        <v>430572</v>
      </c>
      <c r="G11" s="53">
        <f>178730499</f>
        <v>178730499</v>
      </c>
      <c r="H11" s="115">
        <v>0</v>
      </c>
      <c r="I11" s="53">
        <v>0</v>
      </c>
      <c r="J11" s="53">
        <v>22500</v>
      </c>
      <c r="K11" s="53">
        <v>0</v>
      </c>
      <c r="L11" s="115">
        <v>0</v>
      </c>
      <c r="M11" s="52">
        <f t="shared" si="1"/>
        <v>179814022</v>
      </c>
      <c r="N11" s="53">
        <v>3766364</v>
      </c>
      <c r="O11" s="53">
        <v>697268</v>
      </c>
      <c r="P11" s="53">
        <v>175287890</v>
      </c>
      <c r="Q11" s="115">
        <v>0</v>
      </c>
      <c r="R11" s="53">
        <v>0</v>
      </c>
      <c r="S11" s="53">
        <v>62500</v>
      </c>
      <c r="T11" s="53">
        <v>0</v>
      </c>
      <c r="U11" s="115">
        <v>0</v>
      </c>
      <c r="V11" s="140" t="s">
        <v>1312</v>
      </c>
    </row>
    <row r="12" spans="1:22" ht="18">
      <c r="A12" s="6"/>
      <c r="B12" s="6" t="s">
        <v>1313</v>
      </c>
      <c r="C12" s="177" t="s">
        <v>1314</v>
      </c>
      <c r="D12" s="52">
        <f>SUM(E12:L12)</f>
        <v>36171510</v>
      </c>
      <c r="E12" s="53">
        <v>0</v>
      </c>
      <c r="F12" s="53">
        <v>0</v>
      </c>
      <c r="G12" s="53">
        <v>33549160</v>
      </c>
      <c r="H12" s="115">
        <v>0</v>
      </c>
      <c r="I12" s="53">
        <v>0</v>
      </c>
      <c r="J12" s="53">
        <v>2622350</v>
      </c>
      <c r="K12" s="53">
        <v>0</v>
      </c>
      <c r="L12" s="115">
        <v>0</v>
      </c>
      <c r="M12" s="52">
        <f t="shared" si="1"/>
        <v>35157975</v>
      </c>
      <c r="N12" s="53">
        <v>0</v>
      </c>
      <c r="O12" s="53">
        <v>0</v>
      </c>
      <c r="P12" s="53">
        <v>18709026</v>
      </c>
      <c r="Q12" s="115">
        <v>0</v>
      </c>
      <c r="R12" s="53">
        <v>0</v>
      </c>
      <c r="S12" s="53">
        <v>16448949</v>
      </c>
      <c r="T12" s="53">
        <v>0</v>
      </c>
      <c r="U12" s="115">
        <v>0</v>
      </c>
      <c r="V12" s="140" t="s">
        <v>1315</v>
      </c>
    </row>
    <row r="13" spans="1:22" ht="18">
      <c r="A13" s="6"/>
      <c r="B13" s="6" t="s">
        <v>1316</v>
      </c>
      <c r="C13" s="177" t="s">
        <v>1317</v>
      </c>
      <c r="D13" s="52">
        <f>SUM(E13:L13)</f>
        <v>13322628</v>
      </c>
      <c r="E13" s="53">
        <v>0</v>
      </c>
      <c r="F13" s="53">
        <v>0</v>
      </c>
      <c r="G13" s="53">
        <v>13322628</v>
      </c>
      <c r="H13" s="115">
        <v>0</v>
      </c>
      <c r="I13" s="53">
        <v>0</v>
      </c>
      <c r="J13" s="53">
        <v>0</v>
      </c>
      <c r="K13" s="53">
        <v>0</v>
      </c>
      <c r="L13" s="115">
        <v>0</v>
      </c>
      <c r="M13" s="52">
        <f t="shared" si="1"/>
        <v>2000000</v>
      </c>
      <c r="N13" s="53">
        <v>0</v>
      </c>
      <c r="O13" s="53">
        <v>0</v>
      </c>
      <c r="P13" s="53">
        <v>2000000</v>
      </c>
      <c r="Q13" s="115">
        <v>0</v>
      </c>
      <c r="R13" s="53">
        <v>0</v>
      </c>
      <c r="S13" s="53">
        <v>0</v>
      </c>
      <c r="T13" s="53">
        <v>0</v>
      </c>
      <c r="U13" s="115">
        <v>0</v>
      </c>
      <c r="V13" s="140" t="s">
        <v>1318</v>
      </c>
    </row>
    <row r="14" spans="1:22" ht="18">
      <c r="A14" s="6"/>
      <c r="B14" s="6" t="s">
        <v>1319</v>
      </c>
      <c r="C14" s="177" t="s">
        <v>1320</v>
      </c>
      <c r="D14" s="52">
        <f aca="true" t="shared" si="3" ref="D14:D31">SUM(E14:L14)</f>
        <v>2836765</v>
      </c>
      <c r="E14" s="53">
        <v>0</v>
      </c>
      <c r="F14" s="53">
        <v>0</v>
      </c>
      <c r="G14" s="53">
        <v>2836765</v>
      </c>
      <c r="H14" s="115">
        <v>0</v>
      </c>
      <c r="I14" s="53">
        <v>0</v>
      </c>
      <c r="J14" s="53">
        <v>0</v>
      </c>
      <c r="K14" s="53">
        <v>0</v>
      </c>
      <c r="L14" s="115">
        <v>0</v>
      </c>
      <c r="M14" s="52">
        <f t="shared" si="1"/>
        <v>1640015</v>
      </c>
      <c r="N14" s="53">
        <v>13837</v>
      </c>
      <c r="O14" s="53">
        <v>10163</v>
      </c>
      <c r="P14" s="53">
        <v>1616015</v>
      </c>
      <c r="Q14" s="115">
        <v>0</v>
      </c>
      <c r="R14" s="53">
        <v>0</v>
      </c>
      <c r="S14" s="53">
        <v>0</v>
      </c>
      <c r="T14" s="53">
        <v>0</v>
      </c>
      <c r="U14" s="115">
        <v>0</v>
      </c>
      <c r="V14" s="140" t="s">
        <v>1321</v>
      </c>
    </row>
    <row r="15" spans="1:22" ht="18">
      <c r="A15" s="6"/>
      <c r="B15" s="6" t="s">
        <v>1322</v>
      </c>
      <c r="C15" s="177" t="s">
        <v>1323</v>
      </c>
      <c r="D15" s="52">
        <f t="shared" si="3"/>
        <v>87267013</v>
      </c>
      <c r="E15" s="53">
        <v>0</v>
      </c>
      <c r="F15" s="53">
        <v>0</v>
      </c>
      <c r="G15" s="53">
        <v>87267013</v>
      </c>
      <c r="H15" s="115">
        <v>0</v>
      </c>
      <c r="I15" s="53">
        <v>0</v>
      </c>
      <c r="J15" s="53">
        <v>0</v>
      </c>
      <c r="K15" s="53">
        <v>0</v>
      </c>
      <c r="L15" s="115">
        <v>0</v>
      </c>
      <c r="M15" s="52">
        <f t="shared" si="1"/>
        <v>87209794</v>
      </c>
      <c r="N15" s="53">
        <v>0</v>
      </c>
      <c r="O15" s="53">
        <v>0</v>
      </c>
      <c r="P15" s="53">
        <v>87209794</v>
      </c>
      <c r="Q15" s="115">
        <v>0</v>
      </c>
      <c r="R15" s="53">
        <v>0</v>
      </c>
      <c r="S15" s="53">
        <v>0</v>
      </c>
      <c r="T15" s="53">
        <v>0</v>
      </c>
      <c r="U15" s="115">
        <v>0</v>
      </c>
      <c r="V15" s="140" t="s">
        <v>1324</v>
      </c>
    </row>
    <row r="16" spans="1:22" ht="18">
      <c r="A16" s="6"/>
      <c r="B16" s="6" t="s">
        <v>1325</v>
      </c>
      <c r="C16" s="177" t="s">
        <v>1326</v>
      </c>
      <c r="D16" s="52">
        <f>SUM(E16:L16)</f>
        <v>32500000</v>
      </c>
      <c r="E16" s="53">
        <v>0</v>
      </c>
      <c r="F16" s="53">
        <v>0</v>
      </c>
      <c r="G16" s="53">
        <v>30000000</v>
      </c>
      <c r="H16" s="211">
        <v>0</v>
      </c>
      <c r="I16" s="53">
        <v>0</v>
      </c>
      <c r="J16" s="53">
        <v>0</v>
      </c>
      <c r="K16" s="53">
        <v>0</v>
      </c>
      <c r="L16" s="115">
        <v>2500000</v>
      </c>
      <c r="M16" s="52">
        <f t="shared" si="1"/>
        <v>2500000</v>
      </c>
      <c r="N16" s="53">
        <v>0</v>
      </c>
      <c r="O16" s="53">
        <v>0</v>
      </c>
      <c r="P16" s="53">
        <v>0</v>
      </c>
      <c r="Q16" s="211">
        <v>0</v>
      </c>
      <c r="R16" s="53">
        <v>0</v>
      </c>
      <c r="S16" s="53">
        <v>0</v>
      </c>
      <c r="T16" s="53">
        <v>0</v>
      </c>
      <c r="U16" s="115">
        <v>2500000</v>
      </c>
      <c r="V16" s="140" t="s">
        <v>1327</v>
      </c>
    </row>
    <row r="17" spans="1:22" ht="18">
      <c r="A17" s="6"/>
      <c r="B17" s="6" t="s">
        <v>1328</v>
      </c>
      <c r="C17" s="177" t="s">
        <v>1329</v>
      </c>
      <c r="D17" s="52">
        <f t="shared" si="3"/>
        <v>426594524</v>
      </c>
      <c r="E17" s="53">
        <v>0</v>
      </c>
      <c r="F17" s="53">
        <v>0</v>
      </c>
      <c r="G17" s="53">
        <v>0</v>
      </c>
      <c r="H17" s="115">
        <v>0</v>
      </c>
      <c r="I17" s="53">
        <v>0</v>
      </c>
      <c r="J17" s="53">
        <v>426594524</v>
      </c>
      <c r="K17" s="53">
        <v>0</v>
      </c>
      <c r="L17" s="115">
        <v>0</v>
      </c>
      <c r="M17" s="52">
        <f t="shared" si="1"/>
        <v>409118943</v>
      </c>
      <c r="N17" s="53">
        <v>0</v>
      </c>
      <c r="O17" s="53">
        <v>0</v>
      </c>
      <c r="P17" s="53">
        <v>0</v>
      </c>
      <c r="Q17" s="115">
        <v>0</v>
      </c>
      <c r="R17" s="53">
        <v>0</v>
      </c>
      <c r="S17" s="53">
        <v>409118943</v>
      </c>
      <c r="T17" s="53">
        <v>0</v>
      </c>
      <c r="U17" s="115">
        <v>0</v>
      </c>
      <c r="V17" s="140" t="s">
        <v>1330</v>
      </c>
    </row>
    <row r="18" spans="1:22" ht="18">
      <c r="A18" s="6"/>
      <c r="B18" s="6" t="s">
        <v>1331</v>
      </c>
      <c r="C18" s="177" t="s">
        <v>1332</v>
      </c>
      <c r="D18" s="52">
        <f>SUM(E18:L18)</f>
        <v>3010208630</v>
      </c>
      <c r="E18" s="53">
        <v>0</v>
      </c>
      <c r="F18" s="53">
        <v>0</v>
      </c>
      <c r="G18" s="53">
        <v>24110924</v>
      </c>
      <c r="H18" s="115">
        <v>0</v>
      </c>
      <c r="I18" s="53">
        <v>0</v>
      </c>
      <c r="J18" s="53">
        <f>189249592+2719207300+77640814</f>
        <v>2986097706</v>
      </c>
      <c r="K18" s="53">
        <v>0</v>
      </c>
      <c r="L18" s="115">
        <v>0</v>
      </c>
      <c r="M18" s="52">
        <f t="shared" si="1"/>
        <v>3608816231</v>
      </c>
      <c r="N18" s="53">
        <v>0</v>
      </c>
      <c r="O18" s="53">
        <v>0</v>
      </c>
      <c r="P18" s="53">
        <v>159982924</v>
      </c>
      <c r="Q18" s="115">
        <v>0</v>
      </c>
      <c r="R18" s="53">
        <v>0</v>
      </c>
      <c r="S18" s="53">
        <v>3448833307</v>
      </c>
      <c r="T18" s="53">
        <v>0</v>
      </c>
      <c r="U18" s="115">
        <v>0</v>
      </c>
      <c r="V18" s="140" t="s">
        <v>1333</v>
      </c>
    </row>
    <row r="19" spans="1:22" ht="30">
      <c r="A19" s="6"/>
      <c r="B19" s="6" t="s">
        <v>1334</v>
      </c>
      <c r="C19" s="177" t="s">
        <v>1335</v>
      </c>
      <c r="D19" s="52">
        <f t="shared" si="3"/>
        <v>0</v>
      </c>
      <c r="E19" s="53">
        <v>0</v>
      </c>
      <c r="F19" s="53">
        <v>0</v>
      </c>
      <c r="G19" s="53">
        <v>0</v>
      </c>
      <c r="H19" s="115">
        <v>0</v>
      </c>
      <c r="I19" s="53">
        <v>0</v>
      </c>
      <c r="J19" s="53">
        <v>0</v>
      </c>
      <c r="K19" s="53">
        <v>0</v>
      </c>
      <c r="L19" s="115">
        <v>0</v>
      </c>
      <c r="M19" s="52">
        <f aca="true" t="shared" si="4" ref="M19:M27">SUM(N19:U19)</f>
        <v>0</v>
      </c>
      <c r="N19" s="53">
        <v>0</v>
      </c>
      <c r="O19" s="53">
        <v>0</v>
      </c>
      <c r="P19" s="53">
        <v>0</v>
      </c>
      <c r="Q19" s="115">
        <v>0</v>
      </c>
      <c r="R19" s="53">
        <v>0</v>
      </c>
      <c r="S19" s="53">
        <v>0</v>
      </c>
      <c r="T19" s="53">
        <v>0</v>
      </c>
      <c r="U19" s="115">
        <v>0</v>
      </c>
      <c r="V19" s="140" t="s">
        <v>1336</v>
      </c>
    </row>
    <row r="20" spans="1:22" ht="18">
      <c r="A20" s="6"/>
      <c r="B20" s="6" t="s">
        <v>1337</v>
      </c>
      <c r="C20" s="177" t="s">
        <v>1338</v>
      </c>
      <c r="D20" s="52">
        <f t="shared" si="3"/>
        <v>67449070</v>
      </c>
      <c r="E20" s="53">
        <v>0</v>
      </c>
      <c r="F20" s="53">
        <v>0</v>
      </c>
      <c r="G20" s="53">
        <f>51000000+16449070</f>
        <v>67449070</v>
      </c>
      <c r="H20" s="115">
        <v>0</v>
      </c>
      <c r="I20" s="53">
        <v>0</v>
      </c>
      <c r="J20" s="53">
        <v>0</v>
      </c>
      <c r="K20" s="53">
        <v>0</v>
      </c>
      <c r="L20" s="115">
        <v>0</v>
      </c>
      <c r="M20" s="52">
        <f t="shared" si="4"/>
        <v>67359070</v>
      </c>
      <c r="N20" s="53">
        <v>0</v>
      </c>
      <c r="O20" s="53">
        <v>0</v>
      </c>
      <c r="P20" s="53">
        <v>67359070</v>
      </c>
      <c r="Q20" s="115">
        <v>0</v>
      </c>
      <c r="R20" s="53">
        <v>0</v>
      </c>
      <c r="S20" s="53">
        <v>0</v>
      </c>
      <c r="T20" s="53">
        <v>0</v>
      </c>
      <c r="U20" s="115">
        <v>0</v>
      </c>
      <c r="V20" s="140" t="s">
        <v>1339</v>
      </c>
    </row>
    <row r="21" spans="1:22" ht="30">
      <c r="A21" s="6"/>
      <c r="B21" s="6" t="s">
        <v>1340</v>
      </c>
      <c r="C21" s="177" t="s">
        <v>1341</v>
      </c>
      <c r="D21" s="52">
        <f t="shared" si="3"/>
        <v>16436572</v>
      </c>
      <c r="E21" s="53">
        <v>0</v>
      </c>
      <c r="F21" s="53">
        <v>0</v>
      </c>
      <c r="G21" s="53">
        <f>12615644+3820928</f>
        <v>16436572</v>
      </c>
      <c r="H21" s="115">
        <v>0</v>
      </c>
      <c r="I21" s="53">
        <v>0</v>
      </c>
      <c r="J21" s="53">
        <v>0</v>
      </c>
      <c r="K21" s="53">
        <v>0</v>
      </c>
      <c r="L21" s="115">
        <v>0</v>
      </c>
      <c r="M21" s="52">
        <f t="shared" si="4"/>
        <v>16436572</v>
      </c>
      <c r="N21" s="53">
        <v>0</v>
      </c>
      <c r="O21" s="53">
        <v>0</v>
      </c>
      <c r="P21" s="53">
        <v>16436572</v>
      </c>
      <c r="Q21" s="115">
        <v>0</v>
      </c>
      <c r="R21" s="53">
        <v>0</v>
      </c>
      <c r="S21" s="53">
        <v>0</v>
      </c>
      <c r="T21" s="53">
        <v>0</v>
      </c>
      <c r="U21" s="115">
        <v>0</v>
      </c>
      <c r="V21" s="140" t="s">
        <v>1342</v>
      </c>
    </row>
    <row r="22" spans="1:22" ht="18">
      <c r="A22" s="6"/>
      <c r="B22" s="6" t="s">
        <v>1343</v>
      </c>
      <c r="C22" s="177" t="s">
        <v>1344</v>
      </c>
      <c r="D22" s="52">
        <f t="shared" si="3"/>
        <v>9582374</v>
      </c>
      <c r="E22" s="53">
        <v>0</v>
      </c>
      <c r="F22" s="53">
        <v>0</v>
      </c>
      <c r="G22" s="53">
        <v>0</v>
      </c>
      <c r="H22" s="115">
        <v>0</v>
      </c>
      <c r="I22" s="53">
        <v>0</v>
      </c>
      <c r="J22" s="53">
        <f>259535+4520000</f>
        <v>4779535</v>
      </c>
      <c r="K22" s="53">
        <v>4802839</v>
      </c>
      <c r="L22" s="115">
        <v>0</v>
      </c>
      <c r="M22" s="52">
        <f t="shared" si="4"/>
        <v>9582374</v>
      </c>
      <c r="N22" s="53">
        <v>0</v>
      </c>
      <c r="O22" s="53">
        <v>0</v>
      </c>
      <c r="P22" s="53">
        <v>0</v>
      </c>
      <c r="Q22" s="115">
        <v>0</v>
      </c>
      <c r="R22" s="53">
        <v>0</v>
      </c>
      <c r="S22" s="53">
        <v>358480</v>
      </c>
      <c r="T22" s="53">
        <v>9223894</v>
      </c>
      <c r="U22" s="115">
        <v>0</v>
      </c>
      <c r="V22" s="140" t="s">
        <v>1345</v>
      </c>
    </row>
    <row r="23" spans="1:22" ht="18">
      <c r="A23" s="6"/>
      <c r="B23" s="6" t="s">
        <v>1346</v>
      </c>
      <c r="C23" s="177" t="s">
        <v>1347</v>
      </c>
      <c r="D23" s="52">
        <f t="shared" si="3"/>
        <v>17144000</v>
      </c>
      <c r="E23" s="53">
        <v>0</v>
      </c>
      <c r="F23" s="53">
        <v>0</v>
      </c>
      <c r="G23" s="53">
        <v>0</v>
      </c>
      <c r="H23" s="115">
        <v>0</v>
      </c>
      <c r="I23" s="53">
        <v>0</v>
      </c>
      <c r="J23" s="53">
        <v>17144000</v>
      </c>
      <c r="K23" s="53">
        <v>0</v>
      </c>
      <c r="L23" s="115">
        <v>0</v>
      </c>
      <c r="M23" s="52">
        <f t="shared" si="4"/>
        <v>31163500</v>
      </c>
      <c r="N23" s="53">
        <v>0</v>
      </c>
      <c r="O23" s="53">
        <v>0</v>
      </c>
      <c r="P23" s="53">
        <v>30614</v>
      </c>
      <c r="Q23" s="115">
        <v>0</v>
      </c>
      <c r="R23" s="53">
        <v>0</v>
      </c>
      <c r="S23" s="53">
        <v>31132886</v>
      </c>
      <c r="T23" s="53">
        <v>0</v>
      </c>
      <c r="U23" s="115">
        <v>0</v>
      </c>
      <c r="V23" s="178" t="s">
        <v>1348</v>
      </c>
    </row>
    <row r="24" spans="1:22" ht="18">
      <c r="A24" s="6"/>
      <c r="B24" s="6" t="s">
        <v>1349</v>
      </c>
      <c r="C24" s="177" t="s">
        <v>1350</v>
      </c>
      <c r="D24" s="52">
        <f t="shared" si="3"/>
        <v>24746612</v>
      </c>
      <c r="E24" s="53">
        <v>0</v>
      </c>
      <c r="F24" s="53">
        <v>0</v>
      </c>
      <c r="G24" s="53">
        <v>0</v>
      </c>
      <c r="H24" s="115">
        <v>0</v>
      </c>
      <c r="I24" s="53">
        <v>0</v>
      </c>
      <c r="J24" s="53">
        <v>0</v>
      </c>
      <c r="K24" s="53">
        <f>18500000+6246612</f>
        <v>24746612</v>
      </c>
      <c r="L24" s="115">
        <v>0</v>
      </c>
      <c r="M24" s="52">
        <f t="shared" si="4"/>
        <v>17738385</v>
      </c>
      <c r="N24" s="53">
        <v>0</v>
      </c>
      <c r="O24" s="53">
        <v>0</v>
      </c>
      <c r="P24" s="53">
        <v>0</v>
      </c>
      <c r="Q24" s="115">
        <v>0</v>
      </c>
      <c r="R24" s="53">
        <v>0</v>
      </c>
      <c r="S24" s="53">
        <v>0</v>
      </c>
      <c r="T24" s="53">
        <v>17738385</v>
      </c>
      <c r="U24" s="115">
        <v>0</v>
      </c>
      <c r="V24" s="140" t="s">
        <v>1351</v>
      </c>
    </row>
    <row r="25" spans="1:22" ht="18">
      <c r="A25" s="6"/>
      <c r="B25" s="6" t="s">
        <v>1352</v>
      </c>
      <c r="C25" s="177" t="s">
        <v>1353</v>
      </c>
      <c r="D25" s="52">
        <f t="shared" si="3"/>
        <v>37522441</v>
      </c>
      <c r="E25" s="53">
        <v>0</v>
      </c>
      <c r="F25" s="53">
        <v>0</v>
      </c>
      <c r="G25" s="53">
        <v>37391102</v>
      </c>
      <c r="H25" s="115">
        <v>0</v>
      </c>
      <c r="I25" s="53">
        <v>0</v>
      </c>
      <c r="J25" s="53">
        <v>0</v>
      </c>
      <c r="K25" s="53">
        <v>131339</v>
      </c>
      <c r="L25" s="115">
        <v>0</v>
      </c>
      <c r="M25" s="52">
        <f t="shared" si="4"/>
        <v>35853507</v>
      </c>
      <c r="N25" s="53">
        <v>0</v>
      </c>
      <c r="O25" s="53">
        <v>0</v>
      </c>
      <c r="P25" s="53">
        <v>35722168</v>
      </c>
      <c r="Q25" s="115">
        <v>0</v>
      </c>
      <c r="R25" s="53">
        <v>0</v>
      </c>
      <c r="S25" s="53">
        <v>0</v>
      </c>
      <c r="T25" s="53">
        <v>131339</v>
      </c>
      <c r="U25" s="115">
        <v>0</v>
      </c>
      <c r="V25" s="140" t="s">
        <v>1354</v>
      </c>
    </row>
    <row r="26" spans="1:22" ht="18">
      <c r="A26" s="6"/>
      <c r="B26" s="6" t="s">
        <v>1355</v>
      </c>
      <c r="C26" s="177" t="s">
        <v>1356</v>
      </c>
      <c r="D26" s="52">
        <f t="shared" si="3"/>
        <v>22791290</v>
      </c>
      <c r="E26" s="53">
        <v>0</v>
      </c>
      <c r="F26" s="53">
        <v>0</v>
      </c>
      <c r="G26" s="53">
        <v>22791290</v>
      </c>
      <c r="H26" s="115">
        <v>0</v>
      </c>
      <c r="I26" s="53">
        <v>0</v>
      </c>
      <c r="J26" s="53">
        <v>0</v>
      </c>
      <c r="K26" s="53">
        <v>0</v>
      </c>
      <c r="L26" s="115">
        <v>0</v>
      </c>
      <c r="M26" s="52">
        <f t="shared" si="4"/>
        <v>22791290</v>
      </c>
      <c r="N26" s="53">
        <v>0</v>
      </c>
      <c r="O26" s="53">
        <v>0</v>
      </c>
      <c r="P26" s="53">
        <v>22791290</v>
      </c>
      <c r="Q26" s="115">
        <v>0</v>
      </c>
      <c r="R26" s="53">
        <v>0</v>
      </c>
      <c r="S26" s="53">
        <v>0</v>
      </c>
      <c r="T26" s="53">
        <v>0</v>
      </c>
      <c r="U26" s="115">
        <v>0</v>
      </c>
      <c r="V26" s="140" t="s">
        <v>1357</v>
      </c>
    </row>
    <row r="27" spans="1:22" ht="18">
      <c r="A27" s="6"/>
      <c r="B27" s="6" t="s">
        <v>1358</v>
      </c>
      <c r="C27" s="177" t="s">
        <v>1431</v>
      </c>
      <c r="D27" s="52">
        <f t="shared" si="3"/>
        <v>182858410</v>
      </c>
      <c r="E27" s="53">
        <v>0</v>
      </c>
      <c r="F27" s="53">
        <v>0</v>
      </c>
      <c r="G27" s="53">
        <f>182858410-21065250</f>
        <v>161793160</v>
      </c>
      <c r="H27" s="53">
        <v>0</v>
      </c>
      <c r="I27" s="53">
        <v>0</v>
      </c>
      <c r="J27" s="53">
        <v>21065250</v>
      </c>
      <c r="K27" s="53">
        <v>0</v>
      </c>
      <c r="L27" s="115">
        <v>0</v>
      </c>
      <c r="M27" s="52">
        <f t="shared" si="4"/>
        <v>182858410</v>
      </c>
      <c r="N27" s="53">
        <v>0</v>
      </c>
      <c r="O27" s="53">
        <v>0</v>
      </c>
      <c r="P27" s="53">
        <v>182858410</v>
      </c>
      <c r="Q27" s="53">
        <v>0</v>
      </c>
      <c r="R27" s="53">
        <v>0</v>
      </c>
      <c r="S27" s="53">
        <v>0</v>
      </c>
      <c r="T27" s="53">
        <v>0</v>
      </c>
      <c r="U27" s="115">
        <v>0</v>
      </c>
      <c r="V27" s="140" t="s">
        <v>1359</v>
      </c>
    </row>
    <row r="28" spans="1:22" ht="18">
      <c r="A28" s="6"/>
      <c r="B28" s="6" t="s">
        <v>1360</v>
      </c>
      <c r="C28" s="177" t="s">
        <v>1361</v>
      </c>
      <c r="D28" s="52">
        <f>SUM(E28:L28)</f>
        <v>71065250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71065250</v>
      </c>
      <c r="K28" s="53">
        <v>0</v>
      </c>
      <c r="L28" s="115">
        <v>0</v>
      </c>
      <c r="M28" s="52">
        <f>SUM(N28:U28)</f>
        <v>71065250</v>
      </c>
      <c r="N28" s="53">
        <v>0</v>
      </c>
      <c r="O28" s="53">
        <v>0</v>
      </c>
      <c r="P28" s="53">
        <v>1000000</v>
      </c>
      <c r="Q28" s="53">
        <v>0</v>
      </c>
      <c r="R28" s="53">
        <v>0</v>
      </c>
      <c r="S28" s="53">
        <v>70065250</v>
      </c>
      <c r="T28" s="53">
        <v>0</v>
      </c>
      <c r="U28" s="115">
        <v>0</v>
      </c>
      <c r="V28" s="157">
        <v>58418</v>
      </c>
    </row>
    <row r="29" spans="1:22" ht="30">
      <c r="A29" s="6"/>
      <c r="B29" s="6" t="s">
        <v>1362</v>
      </c>
      <c r="C29" s="179" t="s">
        <v>1363</v>
      </c>
      <c r="D29" s="52">
        <f t="shared" si="3"/>
        <v>2528142160</v>
      </c>
      <c r="E29" s="53">
        <v>0</v>
      </c>
      <c r="F29" s="53">
        <v>0</v>
      </c>
      <c r="G29" s="53">
        <v>1078329607</v>
      </c>
      <c r="H29" s="53">
        <v>0</v>
      </c>
      <c r="I29" s="53">
        <v>0</v>
      </c>
      <c r="J29" s="53">
        <v>1449812553</v>
      </c>
      <c r="K29" s="53">
        <v>0</v>
      </c>
      <c r="L29" s="115">
        <v>0</v>
      </c>
      <c r="M29" s="52">
        <f>SUM(N29:U29)</f>
        <v>2672264858</v>
      </c>
      <c r="N29" s="53">
        <v>4087519</v>
      </c>
      <c r="O29" s="53">
        <v>0</v>
      </c>
      <c r="P29" s="53">
        <v>1422452305</v>
      </c>
      <c r="Q29" s="53">
        <v>0</v>
      </c>
      <c r="R29" s="53">
        <v>0</v>
      </c>
      <c r="S29" s="53">
        <v>1245725034</v>
      </c>
      <c r="T29" s="53">
        <v>0</v>
      </c>
      <c r="U29" s="115">
        <v>0</v>
      </c>
      <c r="V29" s="140" t="s">
        <v>1364</v>
      </c>
    </row>
    <row r="30" spans="1:22" ht="18">
      <c r="A30" s="6" t="s">
        <v>157</v>
      </c>
      <c r="B30" s="6"/>
      <c r="C30" s="41" t="s">
        <v>41</v>
      </c>
      <c r="D30" s="10">
        <f t="shared" si="3"/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61">
        <v>0</v>
      </c>
      <c r="M30" s="10">
        <f>SUM(N30:U30)</f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61">
        <v>0</v>
      </c>
      <c r="V30" s="140"/>
    </row>
    <row r="31" spans="1:22" ht="18">
      <c r="A31" s="6" t="s">
        <v>158</v>
      </c>
      <c r="B31" s="6"/>
      <c r="C31" s="41" t="s">
        <v>43</v>
      </c>
      <c r="D31" s="10">
        <f t="shared" si="3"/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61">
        <v>0</v>
      </c>
      <c r="M31" s="10">
        <f>SUM(N31:U31)</f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61">
        <v>0</v>
      </c>
      <c r="V31" s="140"/>
    </row>
    <row r="32" spans="1:22" ht="35.25" customHeight="1">
      <c r="A32" s="454" t="s">
        <v>286</v>
      </c>
      <c r="B32" s="454"/>
      <c r="C32" s="454"/>
      <c r="D32" s="10">
        <f>SUM(E32:L32)</f>
        <v>6766074080</v>
      </c>
      <c r="E32" s="58">
        <f aca="true" t="shared" si="5" ref="E32:L32">E10+E30+E31</f>
        <v>251260</v>
      </c>
      <c r="F32" s="58">
        <f t="shared" si="5"/>
        <v>430572</v>
      </c>
      <c r="G32" s="58">
        <f>G10+G30+G31</f>
        <v>1754007790</v>
      </c>
      <c r="H32" s="58">
        <f t="shared" si="5"/>
        <v>0</v>
      </c>
      <c r="I32" s="58">
        <f t="shared" si="5"/>
        <v>0</v>
      </c>
      <c r="J32" s="58">
        <f>J10+J30+J31</f>
        <v>4979203668</v>
      </c>
      <c r="K32" s="58">
        <f t="shared" si="5"/>
        <v>29680790</v>
      </c>
      <c r="L32" s="64">
        <f t="shared" si="5"/>
        <v>2500000</v>
      </c>
      <c r="M32" s="10">
        <f>SUM(N32:U32)</f>
        <v>7453370196</v>
      </c>
      <c r="N32" s="58">
        <f aca="true" t="shared" si="6" ref="N32:U32">N10+N30+N31</f>
        <v>7867720</v>
      </c>
      <c r="O32" s="58">
        <f t="shared" si="6"/>
        <v>707431</v>
      </c>
      <c r="P32" s="58">
        <f t="shared" si="6"/>
        <v>2193456078</v>
      </c>
      <c r="Q32" s="58">
        <f t="shared" si="6"/>
        <v>0</v>
      </c>
      <c r="R32" s="58">
        <f t="shared" si="6"/>
        <v>0</v>
      </c>
      <c r="S32" s="58">
        <f t="shared" si="6"/>
        <v>5221745349</v>
      </c>
      <c r="T32" s="58">
        <f t="shared" si="6"/>
        <v>27093618</v>
      </c>
      <c r="U32" s="64">
        <f t="shared" si="6"/>
        <v>2500000</v>
      </c>
      <c r="V32" s="140"/>
    </row>
    <row r="34" spans="3:21" ht="12.75"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</row>
    <row r="35" spans="3:21" s="182" customFormat="1" ht="15" customHeight="1"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</row>
    <row r="36" spans="3:21" s="182" customFormat="1" ht="15"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</row>
    <row r="37" spans="3:21" s="182" customFormat="1" ht="15">
      <c r="C37" s="181"/>
      <c r="D37" s="183"/>
      <c r="E37" s="181"/>
      <c r="F37" s="181"/>
      <c r="G37" s="181"/>
      <c r="H37" s="181"/>
      <c r="I37" s="181"/>
      <c r="J37" s="181"/>
      <c r="K37" s="181"/>
      <c r="L37" s="181"/>
      <c r="M37" s="183"/>
      <c r="N37" s="181"/>
      <c r="O37" s="181"/>
      <c r="P37" s="181"/>
      <c r="Q37" s="181"/>
      <c r="R37" s="181"/>
      <c r="S37" s="181"/>
      <c r="T37" s="181"/>
      <c r="U37" s="181"/>
    </row>
    <row r="38" spans="3:21" ht="15">
      <c r="C38" s="180"/>
      <c r="D38" s="180"/>
      <c r="E38" s="184"/>
      <c r="F38" s="185"/>
      <c r="G38" s="180"/>
      <c r="H38" s="180"/>
      <c r="I38" s="180"/>
      <c r="J38" s="180"/>
      <c r="K38" s="180"/>
      <c r="L38" s="180"/>
      <c r="M38" s="180"/>
      <c r="N38" s="184"/>
      <c r="O38" s="185"/>
      <c r="P38" s="180"/>
      <c r="Q38" s="180"/>
      <c r="R38" s="180"/>
      <c r="S38" s="180"/>
      <c r="T38" s="180"/>
      <c r="U38" s="180"/>
    </row>
    <row r="39" spans="3:21" ht="12.75"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</row>
    <row r="40" spans="3:21" ht="12.75">
      <c r="C40" s="180"/>
      <c r="D40" s="180"/>
      <c r="E40" s="186"/>
      <c r="F40" s="180"/>
      <c r="G40" s="180"/>
      <c r="H40" s="180"/>
      <c r="I40" s="180"/>
      <c r="J40" s="186"/>
      <c r="K40" s="186"/>
      <c r="L40" s="186"/>
      <c r="M40" s="180"/>
      <c r="N40" s="186"/>
      <c r="O40" s="180"/>
      <c r="P40" s="180"/>
      <c r="Q40" s="180"/>
      <c r="R40" s="180"/>
      <c r="S40" s="186"/>
      <c r="T40" s="186"/>
      <c r="U40" s="186"/>
    </row>
    <row r="41" spans="3:21" ht="12.75">
      <c r="C41" s="180"/>
      <c r="D41" s="180"/>
      <c r="E41" s="180"/>
      <c r="F41" s="180"/>
      <c r="G41" s="180"/>
      <c r="H41" s="180"/>
      <c r="I41" s="180"/>
      <c r="J41" s="186"/>
      <c r="K41" s="524"/>
      <c r="L41" s="524"/>
      <c r="M41" s="180"/>
      <c r="N41" s="180"/>
      <c r="O41" s="180"/>
      <c r="P41" s="180"/>
      <c r="Q41" s="180"/>
      <c r="R41" s="180"/>
      <c r="S41" s="186"/>
      <c r="T41" s="524"/>
      <c r="U41" s="524"/>
    </row>
    <row r="42" spans="3:21" ht="12.75">
      <c r="C42" s="180"/>
      <c r="D42" s="180"/>
      <c r="E42" s="180"/>
      <c r="F42" s="180"/>
      <c r="G42" s="180"/>
      <c r="H42" s="180"/>
      <c r="I42" s="180"/>
      <c r="J42" s="186"/>
      <c r="K42" s="186"/>
      <c r="L42" s="186"/>
      <c r="M42" s="180"/>
      <c r="N42" s="180"/>
      <c r="O42" s="180"/>
      <c r="P42" s="180"/>
      <c r="Q42" s="180"/>
      <c r="R42" s="180"/>
      <c r="S42" s="186"/>
      <c r="T42" s="186"/>
      <c r="U42" s="186"/>
    </row>
    <row r="43" spans="3:21" ht="15">
      <c r="C43" s="180"/>
      <c r="D43" s="181"/>
      <c r="E43" s="181"/>
      <c r="F43" s="525"/>
      <c r="G43" s="526"/>
      <c r="H43" s="180"/>
      <c r="I43" s="180"/>
      <c r="J43" s="186"/>
      <c r="K43" s="186"/>
      <c r="L43" s="186"/>
      <c r="M43" s="181"/>
      <c r="N43" s="181"/>
      <c r="O43" s="525"/>
      <c r="P43" s="526"/>
      <c r="Q43" s="180"/>
      <c r="R43" s="180"/>
      <c r="S43" s="186"/>
      <c r="T43" s="186"/>
      <c r="U43" s="186"/>
    </row>
    <row r="44" spans="3:21" ht="15">
      <c r="C44" s="180"/>
      <c r="D44" s="181"/>
      <c r="E44" s="181"/>
      <c r="F44" s="525"/>
      <c r="G44" s="526"/>
      <c r="H44" s="180"/>
      <c r="I44" s="180"/>
      <c r="J44" s="186"/>
      <c r="K44" s="186"/>
      <c r="L44" s="186"/>
      <c r="M44" s="181"/>
      <c r="N44" s="181"/>
      <c r="O44" s="525"/>
      <c r="P44" s="526"/>
      <c r="Q44" s="180"/>
      <c r="R44" s="180"/>
      <c r="S44" s="186"/>
      <c r="T44" s="186"/>
      <c r="U44" s="186"/>
    </row>
    <row r="45" spans="3:21" ht="15">
      <c r="C45" s="180"/>
      <c r="D45" s="181"/>
      <c r="E45" s="181"/>
      <c r="F45" s="180"/>
      <c r="G45" s="180"/>
      <c r="H45" s="180"/>
      <c r="I45" s="180"/>
      <c r="J45" s="186"/>
      <c r="K45" s="187"/>
      <c r="L45" s="188"/>
      <c r="M45" s="181"/>
      <c r="N45" s="181"/>
      <c r="O45" s="180"/>
      <c r="P45" s="180"/>
      <c r="Q45" s="180"/>
      <c r="R45" s="180"/>
      <c r="S45" s="186"/>
      <c r="T45" s="187"/>
      <c r="U45" s="188"/>
    </row>
    <row r="46" spans="3:21" ht="15">
      <c r="C46" s="180"/>
      <c r="D46" s="181"/>
      <c r="E46" s="181"/>
      <c r="F46" s="180"/>
      <c r="G46" s="180"/>
      <c r="H46" s="180"/>
      <c r="I46" s="180"/>
      <c r="J46" s="186"/>
      <c r="K46" s="186"/>
      <c r="L46" s="186"/>
      <c r="M46" s="181"/>
      <c r="N46" s="181"/>
      <c r="O46" s="180"/>
      <c r="P46" s="180"/>
      <c r="Q46" s="180"/>
      <c r="R46" s="180"/>
      <c r="S46" s="186"/>
      <c r="T46" s="186"/>
      <c r="U46" s="186"/>
    </row>
    <row r="47" spans="3:21" s="38" customFormat="1" ht="30.75" customHeight="1">
      <c r="C47" s="189"/>
      <c r="D47" s="181"/>
      <c r="E47" s="181"/>
      <c r="F47" s="527"/>
      <c r="G47" s="527"/>
      <c r="H47" s="190"/>
      <c r="I47" s="189"/>
      <c r="J47" s="191"/>
      <c r="K47" s="191"/>
      <c r="L47" s="191"/>
      <c r="M47" s="181"/>
      <c r="N47" s="181"/>
      <c r="O47" s="527"/>
      <c r="P47" s="527"/>
      <c r="Q47" s="190"/>
      <c r="R47" s="189"/>
      <c r="S47" s="191"/>
      <c r="T47" s="191"/>
      <c r="U47" s="191"/>
    </row>
    <row r="48" spans="3:21" s="38" customFormat="1" ht="32.25" customHeight="1">
      <c r="C48" s="189"/>
      <c r="D48" s="181"/>
      <c r="E48" s="181"/>
      <c r="F48" s="189"/>
      <c r="G48" s="189"/>
      <c r="H48" s="523"/>
      <c r="I48" s="189"/>
      <c r="J48" s="191"/>
      <c r="K48" s="192"/>
      <c r="L48" s="191"/>
      <c r="M48" s="181"/>
      <c r="N48" s="181"/>
      <c r="O48" s="189"/>
      <c r="P48" s="189"/>
      <c r="Q48" s="523"/>
      <c r="R48" s="189"/>
      <c r="S48" s="191"/>
      <c r="T48" s="192"/>
      <c r="U48" s="191"/>
    </row>
    <row r="49" spans="3:21" s="38" customFormat="1" ht="12.75">
      <c r="C49" s="189"/>
      <c r="D49" s="189"/>
      <c r="E49" s="189"/>
      <c r="F49" s="189"/>
      <c r="G49" s="189"/>
      <c r="H49" s="523"/>
      <c r="I49" s="189"/>
      <c r="J49" s="191"/>
      <c r="K49" s="191"/>
      <c r="L49" s="191"/>
      <c r="M49" s="189"/>
      <c r="N49" s="189"/>
      <c r="O49" s="189"/>
      <c r="P49" s="189"/>
      <c r="Q49" s="523"/>
      <c r="R49" s="189"/>
      <c r="S49" s="191"/>
      <c r="T49" s="191"/>
      <c r="U49" s="191"/>
    </row>
    <row r="50" spans="3:21" s="38" customFormat="1" ht="45.75" customHeight="1">
      <c r="C50" s="189"/>
      <c r="D50" s="189"/>
      <c r="E50" s="189"/>
      <c r="F50" s="193"/>
      <c r="G50" s="194"/>
      <c r="H50" s="523"/>
      <c r="I50" s="189"/>
      <c r="J50" s="191"/>
      <c r="K50" s="191"/>
      <c r="L50" s="191"/>
      <c r="M50" s="189"/>
      <c r="N50" s="189"/>
      <c r="O50" s="193"/>
      <c r="P50" s="194"/>
      <c r="Q50" s="523"/>
      <c r="R50" s="189"/>
      <c r="S50" s="191"/>
      <c r="T50" s="191"/>
      <c r="U50" s="191"/>
    </row>
    <row r="51" spans="3:21" s="38" customFormat="1" ht="12.75">
      <c r="C51" s="189"/>
      <c r="D51" s="189"/>
      <c r="E51" s="189"/>
      <c r="F51" s="189"/>
      <c r="G51" s="189"/>
      <c r="H51" s="523"/>
      <c r="I51" s="189"/>
      <c r="J51" s="191"/>
      <c r="K51" s="195"/>
      <c r="L51" s="191"/>
      <c r="M51" s="189"/>
      <c r="N51" s="189"/>
      <c r="O51" s="189"/>
      <c r="P51" s="189"/>
      <c r="Q51" s="523"/>
      <c r="R51" s="189"/>
      <c r="S51" s="191"/>
      <c r="T51" s="195"/>
      <c r="U51" s="191"/>
    </row>
    <row r="52" spans="3:21" s="38" customFormat="1" ht="12.75">
      <c r="C52" s="189"/>
      <c r="D52" s="189"/>
      <c r="E52" s="189"/>
      <c r="F52" s="189"/>
      <c r="G52" s="189"/>
      <c r="H52" s="523"/>
      <c r="I52" s="189"/>
      <c r="J52" s="190"/>
      <c r="K52" s="196"/>
      <c r="L52" s="191"/>
      <c r="M52" s="189"/>
      <c r="N52" s="189"/>
      <c r="O52" s="189"/>
      <c r="P52" s="189"/>
      <c r="Q52" s="523"/>
      <c r="R52" s="189"/>
      <c r="S52" s="190"/>
      <c r="T52" s="196"/>
      <c r="U52" s="191"/>
    </row>
    <row r="53" spans="10:21" s="38" customFormat="1" ht="12.75">
      <c r="J53" s="83"/>
      <c r="K53" s="83"/>
      <c r="L53" s="83"/>
      <c r="S53" s="83"/>
      <c r="T53" s="83"/>
      <c r="U53" s="83"/>
    </row>
  </sheetData>
  <sheetProtection selectLockedCells="1" selectUnlockedCells="1"/>
  <mergeCells count="27">
    <mergeCell ref="F47:G47"/>
    <mergeCell ref="V7:V10"/>
    <mergeCell ref="T41:U41"/>
    <mergeCell ref="A1:V1"/>
    <mergeCell ref="A3:V3"/>
    <mergeCell ref="A4:V4"/>
    <mergeCell ref="A7:A9"/>
    <mergeCell ref="D7:D9"/>
    <mergeCell ref="A2:V2"/>
    <mergeCell ref="Q48:Q52"/>
    <mergeCell ref="M7:M9"/>
    <mergeCell ref="N7:U7"/>
    <mergeCell ref="N8:R8"/>
    <mergeCell ref="S8:U8"/>
    <mergeCell ref="O43:O44"/>
    <mergeCell ref="P43:P44"/>
    <mergeCell ref="O47:P47"/>
    <mergeCell ref="H48:H52"/>
    <mergeCell ref="E8:I8"/>
    <mergeCell ref="J8:L8"/>
    <mergeCell ref="A32:C32"/>
    <mergeCell ref="K41:L41"/>
    <mergeCell ref="F43:F44"/>
    <mergeCell ref="G43:G44"/>
    <mergeCell ref="B7:B9"/>
    <mergeCell ref="E7:L7"/>
    <mergeCell ref="C7:C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F30"/>
  <sheetViews>
    <sheetView view="pageBreakPreview" zoomScale="74" zoomScaleNormal="74" zoomScaleSheetLayoutView="74" zoomScalePageLayoutView="0" workbookViewId="0" topLeftCell="A1">
      <selection activeCell="B1" sqref="B1:O1"/>
    </sheetView>
  </sheetViews>
  <sheetFormatPr defaultColWidth="9.140625" defaultRowHeight="12.75" customHeight="1"/>
  <cols>
    <col min="2" max="2" width="7.8515625" style="13" customWidth="1"/>
    <col min="3" max="3" width="9.28125" style="13" customWidth="1"/>
    <col min="4" max="4" width="20.8515625" style="13" customWidth="1"/>
    <col min="5" max="5" width="19.57421875" style="13" customWidth="1"/>
    <col min="6" max="6" width="18.57421875" style="13" customWidth="1"/>
    <col min="7" max="7" width="16.00390625" style="13" customWidth="1"/>
    <col min="8" max="8" width="6.140625" style="13" customWidth="1"/>
    <col min="9" max="9" width="24.00390625" style="13" customWidth="1"/>
    <col min="10" max="10" width="20.7109375" style="13" customWidth="1"/>
    <col min="11" max="11" width="20.28125" style="13" customWidth="1"/>
    <col min="12" max="12" width="21.28125" style="13" customWidth="1"/>
    <col min="13" max="13" width="21.421875" style="13" customWidth="1"/>
    <col min="14" max="14" width="21.00390625" style="13" customWidth="1"/>
    <col min="15" max="15" width="21.8515625" style="13" customWidth="1"/>
    <col min="16" max="110" width="9.140625" style="13" customWidth="1"/>
    <col min="111" max="136" width="9.140625" style="14" customWidth="1"/>
  </cols>
  <sheetData>
    <row r="1" spans="2:162" ht="17.25" customHeight="1">
      <c r="B1" s="431" t="s">
        <v>1538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Z1" s="15"/>
      <c r="EA1" s="15"/>
      <c r="EB1" s="15"/>
      <c r="EC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</row>
    <row r="2" spans="2:162" ht="17.25" customHeight="1">
      <c r="B2" s="416" t="s">
        <v>1510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Z2" s="15"/>
      <c r="EA2" s="15"/>
      <c r="EB2" s="15"/>
      <c r="EC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</row>
    <row r="3" spans="2:162" ht="13.5" customHeight="1"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Z3" s="15"/>
      <c r="EA3" s="15"/>
      <c r="EB3" s="15"/>
      <c r="EC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</row>
    <row r="4" spans="2:162" ht="13.5" customHeight="1">
      <c r="B4" s="416" t="s">
        <v>812</v>
      </c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Z4" s="15"/>
      <c r="EA4" s="15"/>
      <c r="EB4" s="15"/>
      <c r="EC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</row>
    <row r="5" spans="2:162" ht="20.25" customHeight="1">
      <c r="B5" s="423" t="s">
        <v>177</v>
      </c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Z5" s="15"/>
      <c r="EA5" s="15"/>
      <c r="EB5" s="15"/>
      <c r="EC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</row>
    <row r="6" spans="2:15" s="15" customFormat="1" ht="20.25" customHeight="1">
      <c r="B6" s="424" t="s">
        <v>178</v>
      </c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</row>
    <row r="7" spans="4:15" s="15" customFormat="1" ht="13.5" customHeight="1">
      <c r="D7" s="17"/>
      <c r="E7" s="17"/>
      <c r="F7" s="17"/>
      <c r="G7" s="17"/>
      <c r="H7" s="17"/>
      <c r="I7" s="17"/>
      <c r="J7" s="17"/>
      <c r="K7" s="17"/>
      <c r="L7" s="18"/>
      <c r="O7" s="383" t="s">
        <v>0</v>
      </c>
    </row>
    <row r="8" spans="1:136" ht="12.75" customHeight="1">
      <c r="A8" s="360" t="s">
        <v>1</v>
      </c>
      <c r="B8" s="361" t="s">
        <v>2</v>
      </c>
      <c r="C8" s="19" t="s">
        <v>3</v>
      </c>
      <c r="D8" s="360" t="s">
        <v>4</v>
      </c>
      <c r="E8" s="361" t="s">
        <v>5</v>
      </c>
      <c r="F8" s="19" t="s">
        <v>6</v>
      </c>
      <c r="G8" s="360" t="s">
        <v>7</v>
      </c>
      <c r="H8" s="361" t="s">
        <v>8</v>
      </c>
      <c r="I8" s="19" t="s">
        <v>9</v>
      </c>
      <c r="J8" s="360" t="s">
        <v>10</v>
      </c>
      <c r="K8" s="361" t="s">
        <v>11</v>
      </c>
      <c r="L8" s="19" t="s">
        <v>12</v>
      </c>
      <c r="M8" s="360" t="s">
        <v>13</v>
      </c>
      <c r="N8" s="361" t="s">
        <v>13</v>
      </c>
      <c r="O8" s="19" t="s">
        <v>15</v>
      </c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</row>
    <row r="9" spans="1:136" ht="27.75" customHeight="1">
      <c r="A9" s="432" t="s">
        <v>23</v>
      </c>
      <c r="B9" s="436" t="s">
        <v>183</v>
      </c>
      <c r="C9" s="428" t="s">
        <v>320</v>
      </c>
      <c r="D9" s="417" t="s">
        <v>947</v>
      </c>
      <c r="E9" s="417" t="s">
        <v>184</v>
      </c>
      <c r="F9" s="417" t="s">
        <v>185</v>
      </c>
      <c r="G9" s="417" t="s">
        <v>186</v>
      </c>
      <c r="H9" s="434" t="s">
        <v>187</v>
      </c>
      <c r="I9" s="417" t="s">
        <v>1483</v>
      </c>
      <c r="J9" s="419" t="s">
        <v>25</v>
      </c>
      <c r="K9" s="419"/>
      <c r="L9" s="419"/>
      <c r="M9" s="419" t="s">
        <v>1466</v>
      </c>
      <c r="N9" s="419"/>
      <c r="O9" s="419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</row>
    <row r="10" spans="1:136" ht="66" customHeight="1">
      <c r="A10" s="433"/>
      <c r="B10" s="437"/>
      <c r="C10" s="429"/>
      <c r="D10" s="417"/>
      <c r="E10" s="417"/>
      <c r="F10" s="417"/>
      <c r="G10" s="417"/>
      <c r="H10" s="434"/>
      <c r="I10" s="417"/>
      <c r="J10" s="417" t="s">
        <v>188</v>
      </c>
      <c r="K10" s="417" t="s">
        <v>189</v>
      </c>
      <c r="L10" s="417" t="s">
        <v>1484</v>
      </c>
      <c r="M10" s="417" t="s">
        <v>188</v>
      </c>
      <c r="N10" s="417" t="s">
        <v>189</v>
      </c>
      <c r="O10" s="417" t="s">
        <v>1484</v>
      </c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</row>
    <row r="11" spans="1:15" s="20" customFormat="1" ht="24.75" customHeight="1">
      <c r="A11" s="433"/>
      <c r="B11" s="438"/>
      <c r="C11" s="430"/>
      <c r="D11" s="418"/>
      <c r="E11" s="418"/>
      <c r="F11" s="418"/>
      <c r="G11" s="418"/>
      <c r="H11" s="435"/>
      <c r="I11" s="418"/>
      <c r="J11" s="418"/>
      <c r="K11" s="418"/>
      <c r="L11" s="418"/>
      <c r="M11" s="418"/>
      <c r="N11" s="418"/>
      <c r="O11" s="418"/>
    </row>
    <row r="12" spans="1:15" s="20" customFormat="1" ht="39.75" customHeight="1">
      <c r="A12" s="362" t="s">
        <v>38</v>
      </c>
      <c r="B12" s="415" t="s">
        <v>39</v>
      </c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</row>
    <row r="13" spans="1:136" ht="33.75" customHeight="1">
      <c r="A13" s="363"/>
      <c r="B13" s="364" t="s">
        <v>1492</v>
      </c>
      <c r="C13" s="365"/>
      <c r="D13" s="425" t="s">
        <v>190</v>
      </c>
      <c r="E13" s="426"/>
      <c r="F13" s="426"/>
      <c r="G13" s="426"/>
      <c r="H13" s="427"/>
      <c r="I13" s="366">
        <f>SUM(I14:I18)</f>
        <v>53000000000</v>
      </c>
      <c r="J13" s="366">
        <f>SUM(J14:J18)</f>
        <v>268379376</v>
      </c>
      <c r="K13" s="366">
        <f>SUM(K14:K18)</f>
        <v>471000000</v>
      </c>
      <c r="L13" s="366">
        <f>SUM(L14:L18)</f>
        <v>739379376</v>
      </c>
      <c r="M13" s="366">
        <f>SUM(M14:M19)</f>
        <v>259646850</v>
      </c>
      <c r="N13" s="366">
        <f>SUM(N14:N19)</f>
        <v>2135227140</v>
      </c>
      <c r="O13" s="366">
        <f>SUM(O14:O19)</f>
        <v>2394873990</v>
      </c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</row>
    <row r="14" spans="1:15" s="20" customFormat="1" ht="38.25" customHeight="1">
      <c r="A14" s="358"/>
      <c r="B14" s="359"/>
      <c r="C14" s="22" t="s">
        <v>1493</v>
      </c>
      <c r="D14" s="350" t="s">
        <v>192</v>
      </c>
      <c r="E14" s="351" t="s">
        <v>193</v>
      </c>
      <c r="F14" s="351">
        <v>42633</v>
      </c>
      <c r="G14" s="351">
        <v>44276</v>
      </c>
      <c r="H14" s="352" t="s">
        <v>191</v>
      </c>
      <c r="I14" s="26">
        <v>1000000000</v>
      </c>
      <c r="J14" s="27">
        <v>8000000</v>
      </c>
      <c r="K14" s="27">
        <v>0</v>
      </c>
      <c r="L14" s="28">
        <f aca="true" t="shared" si="0" ref="L14:L19">SUM(J14:K14)</f>
        <v>8000000</v>
      </c>
      <c r="M14" s="27">
        <v>8000000</v>
      </c>
      <c r="N14" s="27">
        <v>0</v>
      </c>
      <c r="O14" s="28">
        <f aca="true" t="shared" si="1" ref="O14:O19">SUM(M14:N14)</f>
        <v>8000000</v>
      </c>
    </row>
    <row r="15" spans="1:15" s="20" customFormat="1" ht="38.25" customHeight="1">
      <c r="A15" s="358"/>
      <c r="B15" s="359"/>
      <c r="C15" s="22" t="s">
        <v>1494</v>
      </c>
      <c r="D15" s="350" t="s">
        <v>702</v>
      </c>
      <c r="E15" s="351" t="s">
        <v>193</v>
      </c>
      <c r="F15" s="351">
        <v>42887</v>
      </c>
      <c r="G15" s="351">
        <v>47116</v>
      </c>
      <c r="H15" s="352" t="s">
        <v>191</v>
      </c>
      <c r="I15" s="26">
        <v>3000000000</v>
      </c>
      <c r="J15" s="27">
        <v>33000000</v>
      </c>
      <c r="K15" s="27">
        <v>0</v>
      </c>
      <c r="L15" s="28">
        <f t="shared" si="0"/>
        <v>33000000</v>
      </c>
      <c r="M15" s="27">
        <v>33000000</v>
      </c>
      <c r="N15" s="27">
        <v>0</v>
      </c>
      <c r="O15" s="28">
        <f t="shared" si="1"/>
        <v>33000000</v>
      </c>
    </row>
    <row r="16" spans="1:15" s="20" customFormat="1" ht="38.25" customHeight="1">
      <c r="A16" s="358"/>
      <c r="B16" s="359"/>
      <c r="C16" s="22" t="s">
        <v>1495</v>
      </c>
      <c r="D16" s="350" t="s">
        <v>948</v>
      </c>
      <c r="E16" s="351" t="s">
        <v>193</v>
      </c>
      <c r="F16" s="351">
        <v>43277</v>
      </c>
      <c r="G16" s="351">
        <v>47848</v>
      </c>
      <c r="H16" s="352" t="s">
        <v>191</v>
      </c>
      <c r="I16" s="26">
        <v>2500000000</v>
      </c>
      <c r="J16" s="27">
        <v>75487500</v>
      </c>
      <c r="K16" s="27">
        <v>0</v>
      </c>
      <c r="L16" s="28">
        <f t="shared" si="0"/>
        <v>75487500</v>
      </c>
      <c r="M16" s="27">
        <v>75487500</v>
      </c>
      <c r="N16" s="27">
        <v>0</v>
      </c>
      <c r="O16" s="28">
        <f t="shared" si="1"/>
        <v>75487500</v>
      </c>
    </row>
    <row r="17" spans="1:15" s="20" customFormat="1" ht="38.25" customHeight="1">
      <c r="A17" s="358"/>
      <c r="B17" s="359"/>
      <c r="C17" s="22" t="s">
        <v>1496</v>
      </c>
      <c r="D17" s="350" t="s">
        <v>962</v>
      </c>
      <c r="E17" s="351" t="s">
        <v>963</v>
      </c>
      <c r="F17" s="351">
        <v>43363</v>
      </c>
      <c r="G17" s="351">
        <v>45289</v>
      </c>
      <c r="H17" s="352" t="s">
        <v>191</v>
      </c>
      <c r="I17" s="26">
        <v>44000000000</v>
      </c>
      <c r="J17" s="353">
        <f>150000000+141876</f>
        <v>150141876</v>
      </c>
      <c r="K17" s="353">
        <v>471000000</v>
      </c>
      <c r="L17" s="28">
        <f t="shared" si="0"/>
        <v>621141876</v>
      </c>
      <c r="M17" s="353">
        <v>125329199</v>
      </c>
      <c r="N17" s="353">
        <v>2135227140</v>
      </c>
      <c r="O17" s="28">
        <f t="shared" si="1"/>
        <v>2260556339</v>
      </c>
    </row>
    <row r="18" spans="1:15" s="20" customFormat="1" ht="38.25" customHeight="1">
      <c r="A18" s="358"/>
      <c r="B18" s="359"/>
      <c r="C18" s="22" t="s">
        <v>1497</v>
      </c>
      <c r="D18" s="23" t="s">
        <v>1490</v>
      </c>
      <c r="E18" s="351" t="s">
        <v>193</v>
      </c>
      <c r="F18" s="351">
        <v>43972</v>
      </c>
      <c r="G18" s="351">
        <v>47848</v>
      </c>
      <c r="H18" s="352" t="s">
        <v>191</v>
      </c>
      <c r="I18" s="26">
        <v>2500000000</v>
      </c>
      <c r="J18" s="353">
        <v>1750000</v>
      </c>
      <c r="K18" s="27">
        <v>0</v>
      </c>
      <c r="L18" s="28">
        <f t="shared" si="0"/>
        <v>1750000</v>
      </c>
      <c r="M18" s="353">
        <f>1750000+10080151</f>
        <v>11830151</v>
      </c>
      <c r="N18" s="27">
        <v>0</v>
      </c>
      <c r="O18" s="28">
        <f t="shared" si="1"/>
        <v>11830151</v>
      </c>
    </row>
    <row r="19" spans="1:19" s="20" customFormat="1" ht="38.25" customHeight="1">
      <c r="A19" s="358"/>
      <c r="B19" s="359"/>
      <c r="C19" s="22" t="s">
        <v>1491</v>
      </c>
      <c r="D19" s="23" t="s">
        <v>1508</v>
      </c>
      <c r="E19" s="24" t="s">
        <v>193</v>
      </c>
      <c r="F19" s="351"/>
      <c r="G19" s="351">
        <v>47848</v>
      </c>
      <c r="H19" s="25" t="s">
        <v>191</v>
      </c>
      <c r="I19" s="26">
        <v>1400000000</v>
      </c>
      <c r="J19" s="353">
        <v>0</v>
      </c>
      <c r="K19" s="27">
        <v>0</v>
      </c>
      <c r="L19" s="28">
        <f t="shared" si="0"/>
        <v>0</v>
      </c>
      <c r="M19" s="353">
        <v>6000000</v>
      </c>
      <c r="N19" s="27">
        <v>0</v>
      </c>
      <c r="O19" s="28">
        <f t="shared" si="1"/>
        <v>6000000</v>
      </c>
      <c r="P19" s="379"/>
      <c r="Q19" s="379"/>
      <c r="R19" s="379"/>
      <c r="S19" s="379"/>
    </row>
    <row r="20" spans="1:136" ht="35.25" customHeight="1">
      <c r="A20" s="363"/>
      <c r="B20" s="367" t="s">
        <v>1498</v>
      </c>
      <c r="C20" s="21"/>
      <c r="D20" s="420" t="s">
        <v>194</v>
      </c>
      <c r="E20" s="421"/>
      <c r="F20" s="421"/>
      <c r="G20" s="421"/>
      <c r="H20" s="422"/>
      <c r="I20" s="28">
        <f>SUM(I21:I21)</f>
        <v>2500000000</v>
      </c>
      <c r="J20" s="28">
        <f aca="true" t="shared" si="2" ref="J20:O20">SUM(J21:J21)</f>
        <v>0</v>
      </c>
      <c r="K20" s="28">
        <f t="shared" si="2"/>
        <v>5000000</v>
      </c>
      <c r="L20" s="28">
        <f>SUM(L21:L21)</f>
        <v>5000000</v>
      </c>
      <c r="M20" s="28">
        <f t="shared" si="2"/>
        <v>635801</v>
      </c>
      <c r="N20" s="28">
        <f t="shared" si="2"/>
        <v>4364199</v>
      </c>
      <c r="O20" s="28">
        <f t="shared" si="2"/>
        <v>5000000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</row>
    <row r="21" spans="1:15" s="20" customFormat="1" ht="41.25" customHeight="1">
      <c r="A21" s="358"/>
      <c r="B21" s="359"/>
      <c r="C21" s="22" t="s">
        <v>1499</v>
      </c>
      <c r="D21" s="368" t="s">
        <v>195</v>
      </c>
      <c r="E21" s="350" t="s">
        <v>193</v>
      </c>
      <c r="F21" s="354">
        <v>43818</v>
      </c>
      <c r="G21" s="351">
        <v>44196</v>
      </c>
      <c r="H21" s="352" t="s">
        <v>191</v>
      </c>
      <c r="I21" s="26">
        <v>2500000000</v>
      </c>
      <c r="J21" s="29">
        <v>0</v>
      </c>
      <c r="K21" s="29">
        <v>5000000</v>
      </c>
      <c r="L21" s="30">
        <f>J21+K21</f>
        <v>5000000</v>
      </c>
      <c r="M21" s="29">
        <v>635801</v>
      </c>
      <c r="N21" s="29">
        <f>5000000-635801</f>
        <v>4364199</v>
      </c>
      <c r="O21" s="30">
        <f>SUM(M21:N21)</f>
        <v>5000000</v>
      </c>
    </row>
    <row r="22" spans="1:15" s="20" customFormat="1" ht="39.75" customHeight="1">
      <c r="A22" s="369"/>
      <c r="B22" s="367" t="s">
        <v>797</v>
      </c>
      <c r="C22" s="21"/>
      <c r="D22" s="420" t="s">
        <v>1298</v>
      </c>
      <c r="E22" s="421"/>
      <c r="F22" s="421"/>
      <c r="G22" s="421"/>
      <c r="H22" s="422"/>
      <c r="I22" s="28">
        <v>0</v>
      </c>
      <c r="J22" s="28">
        <f aca="true" t="shared" si="3" ref="J22:O22">SUM(J23)</f>
        <v>0</v>
      </c>
      <c r="K22" s="28">
        <f t="shared" si="3"/>
        <v>279308400</v>
      </c>
      <c r="L22" s="28">
        <f t="shared" si="3"/>
        <v>279308400</v>
      </c>
      <c r="M22" s="28">
        <f t="shared" si="3"/>
        <v>0</v>
      </c>
      <c r="N22" s="28">
        <f t="shared" si="3"/>
        <v>279308400</v>
      </c>
      <c r="O22" s="28">
        <f t="shared" si="3"/>
        <v>279308400</v>
      </c>
    </row>
    <row r="23" spans="1:15" s="20" customFormat="1" ht="45" customHeight="1">
      <c r="A23" s="370"/>
      <c r="B23" s="371"/>
      <c r="C23" s="372" t="s">
        <v>1500</v>
      </c>
      <c r="D23" s="373" t="s">
        <v>1299</v>
      </c>
      <c r="E23" s="374" t="s">
        <v>1300</v>
      </c>
      <c r="F23" s="375">
        <v>43444</v>
      </c>
      <c r="G23" s="376"/>
      <c r="H23" s="377" t="s">
        <v>191</v>
      </c>
      <c r="I23" s="26">
        <v>0</v>
      </c>
      <c r="J23" s="29">
        <v>0</v>
      </c>
      <c r="K23" s="29">
        <v>279308400</v>
      </c>
      <c r="L23" s="28">
        <f>SUM(J23:K23)</f>
        <v>279308400</v>
      </c>
      <c r="M23" s="29">
        <v>0</v>
      </c>
      <c r="N23" s="29">
        <v>279308400</v>
      </c>
      <c r="O23" s="28">
        <f>SUM(M23:N23)</f>
        <v>279308400</v>
      </c>
    </row>
    <row r="24" spans="1:136" ht="38.25" customHeight="1">
      <c r="A24" s="414" t="s">
        <v>1501</v>
      </c>
      <c r="B24" s="414"/>
      <c r="C24" s="414"/>
      <c r="D24" s="414"/>
      <c r="E24" s="414"/>
      <c r="F24" s="414"/>
      <c r="G24" s="414"/>
      <c r="H24" s="414"/>
      <c r="I24" s="378">
        <f aca="true" t="shared" si="4" ref="I24:O24">I13+I20+I22</f>
        <v>55500000000</v>
      </c>
      <c r="J24" s="30">
        <f t="shared" si="4"/>
        <v>268379376</v>
      </c>
      <c r="K24" s="30">
        <f t="shared" si="4"/>
        <v>755308400</v>
      </c>
      <c r="L24" s="30">
        <f t="shared" si="4"/>
        <v>1023687776</v>
      </c>
      <c r="M24" s="30">
        <f t="shared" si="4"/>
        <v>260282651</v>
      </c>
      <c r="N24" s="30">
        <f t="shared" si="4"/>
        <v>2418899739</v>
      </c>
      <c r="O24" s="30">
        <f t="shared" si="4"/>
        <v>2679182390</v>
      </c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</row>
    <row r="26" spans="2:15" ht="12.75" customHeight="1">
      <c r="B26" s="349" t="s">
        <v>1482</v>
      </c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O26" s="81"/>
    </row>
    <row r="28" ht="12.75" customHeight="1">
      <c r="L28" s="81"/>
    </row>
    <row r="29" ht="12.75" customHeight="1">
      <c r="L29" s="81"/>
    </row>
    <row r="30" ht="12.75" customHeight="1">
      <c r="L30" s="81"/>
    </row>
  </sheetData>
  <sheetProtection selectLockedCells="1" selectUnlockedCells="1"/>
  <mergeCells count="28">
    <mergeCell ref="D13:H13"/>
    <mergeCell ref="C9:C11"/>
    <mergeCell ref="B1:O1"/>
    <mergeCell ref="B4:O4"/>
    <mergeCell ref="A9:A11"/>
    <mergeCell ref="M10:M11"/>
    <mergeCell ref="N10:N11"/>
    <mergeCell ref="E9:E11"/>
    <mergeCell ref="H9:H11"/>
    <mergeCell ref="B9:B11"/>
    <mergeCell ref="F9:F11"/>
    <mergeCell ref="G9:G11"/>
    <mergeCell ref="K10:K11"/>
    <mergeCell ref="B5:O5"/>
    <mergeCell ref="B6:O6"/>
    <mergeCell ref="I9:I11"/>
    <mergeCell ref="L10:L11"/>
    <mergeCell ref="J10:J11"/>
    <mergeCell ref="A24:H24"/>
    <mergeCell ref="B12:O12"/>
    <mergeCell ref="B2:O2"/>
    <mergeCell ref="B3:L3"/>
    <mergeCell ref="D9:D11"/>
    <mergeCell ref="O10:O11"/>
    <mergeCell ref="J9:L9"/>
    <mergeCell ref="M9:O9"/>
    <mergeCell ref="D20:H20"/>
    <mergeCell ref="D22:H22"/>
  </mergeCells>
  <printOptions horizontalCentered="1" verticalCentered="1"/>
  <pageMargins left="0.2362204724409449" right="0.2362204724409449" top="0.15748031496062992" bottom="0.15748031496062992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8"/>
  <sheetViews>
    <sheetView view="pageBreakPreview" zoomScale="64" zoomScaleNormal="64" zoomScaleSheetLayoutView="64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V1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33.57421875" style="0" customWidth="1"/>
    <col min="4" max="4" width="17.7109375" style="0" customWidth="1"/>
    <col min="5" max="8" width="14.57421875" style="0" customWidth="1"/>
    <col min="9" max="9" width="19.00390625" style="0" customWidth="1"/>
    <col min="10" max="12" width="14.57421875" style="0" customWidth="1"/>
    <col min="13" max="13" width="28.8515625" style="0" customWidth="1"/>
    <col min="14" max="17" width="14.57421875" style="0" customWidth="1"/>
    <col min="18" max="18" width="19.00390625" style="0" customWidth="1"/>
    <col min="19" max="21" width="14.57421875" style="0" customWidth="1"/>
    <col min="22" max="22" width="16.140625" style="0" customWidth="1"/>
  </cols>
  <sheetData>
    <row r="1" spans="1:22" ht="20.25">
      <c r="A1" s="499" t="s">
        <v>1554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</row>
    <row r="2" spans="1:22" ht="18">
      <c r="A2" s="416" t="s">
        <v>1527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</row>
    <row r="3" spans="1:22" ht="18" customHeight="1">
      <c r="A3" s="423" t="s">
        <v>641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</row>
    <row r="4" spans="1:22" ht="18">
      <c r="A4" s="497" t="s">
        <v>642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11"/>
      <c r="M5" s="1"/>
      <c r="N5" s="1"/>
      <c r="O5" s="1"/>
      <c r="P5" s="1"/>
      <c r="Q5" s="1"/>
      <c r="R5" s="1"/>
      <c r="S5" s="1"/>
      <c r="T5" s="1"/>
      <c r="U5" s="111"/>
      <c r="V5" s="111" t="s">
        <v>0</v>
      </c>
    </row>
    <row r="6" spans="1:22" ht="14.25">
      <c r="A6" s="2" t="s">
        <v>1</v>
      </c>
      <c r="B6" s="2" t="s">
        <v>2</v>
      </c>
      <c r="C6" s="60" t="s">
        <v>3</v>
      </c>
      <c r="D6" s="116" t="s">
        <v>4</v>
      </c>
      <c r="E6" s="148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60" t="s">
        <v>12</v>
      </c>
      <c r="M6" s="337" t="s">
        <v>13</v>
      </c>
      <c r="N6" s="144" t="s">
        <v>14</v>
      </c>
      <c r="O6" s="144" t="s">
        <v>15</v>
      </c>
      <c r="P6" s="144" t="s">
        <v>16</v>
      </c>
      <c r="Q6" s="144" t="s">
        <v>17</v>
      </c>
      <c r="R6" s="144" t="s">
        <v>18</v>
      </c>
      <c r="S6" s="145" t="s">
        <v>19</v>
      </c>
      <c r="T6" s="144" t="s">
        <v>20</v>
      </c>
      <c r="U6" s="146" t="s">
        <v>21</v>
      </c>
      <c r="V6" s="127" t="s">
        <v>179</v>
      </c>
    </row>
    <row r="7" spans="1:22" ht="12.75" customHeight="1">
      <c r="A7" s="413" t="s">
        <v>23</v>
      </c>
      <c r="B7" s="413" t="s">
        <v>183</v>
      </c>
      <c r="C7" s="406" t="s">
        <v>24</v>
      </c>
      <c r="D7" s="528" t="s">
        <v>1262</v>
      </c>
      <c r="E7" s="455" t="s">
        <v>25</v>
      </c>
      <c r="F7" s="455"/>
      <c r="G7" s="455"/>
      <c r="H7" s="455"/>
      <c r="I7" s="455"/>
      <c r="J7" s="455"/>
      <c r="K7" s="455"/>
      <c r="L7" s="456"/>
      <c r="M7" s="455" t="s">
        <v>1467</v>
      </c>
      <c r="N7" s="455" t="s">
        <v>1466</v>
      </c>
      <c r="O7" s="455"/>
      <c r="P7" s="455"/>
      <c r="Q7" s="455"/>
      <c r="R7" s="455"/>
      <c r="S7" s="455"/>
      <c r="T7" s="455"/>
      <c r="U7" s="455"/>
      <c r="V7" s="469" t="s">
        <v>1012</v>
      </c>
    </row>
    <row r="8" spans="1:22" ht="12.75" customHeight="1">
      <c r="A8" s="413"/>
      <c r="B8" s="413"/>
      <c r="C8" s="406"/>
      <c r="D8" s="406"/>
      <c r="E8" s="405" t="s">
        <v>26</v>
      </c>
      <c r="F8" s="405"/>
      <c r="G8" s="405"/>
      <c r="H8" s="405"/>
      <c r="I8" s="405"/>
      <c r="J8" s="405" t="s">
        <v>27</v>
      </c>
      <c r="K8" s="405"/>
      <c r="L8" s="457"/>
      <c r="M8" s="455"/>
      <c r="N8" s="501" t="s">
        <v>26</v>
      </c>
      <c r="O8" s="501"/>
      <c r="P8" s="501"/>
      <c r="Q8" s="501"/>
      <c r="R8" s="501"/>
      <c r="S8" s="501" t="s">
        <v>27</v>
      </c>
      <c r="T8" s="501"/>
      <c r="U8" s="501"/>
      <c r="V8" s="469"/>
    </row>
    <row r="9" spans="1:22" ht="96" customHeight="1">
      <c r="A9" s="413"/>
      <c r="B9" s="413"/>
      <c r="C9" s="406"/>
      <c r="D9" s="406"/>
      <c r="E9" s="5" t="s">
        <v>28</v>
      </c>
      <c r="F9" s="5" t="s">
        <v>29</v>
      </c>
      <c r="G9" s="5" t="s">
        <v>30</v>
      </c>
      <c r="H9" s="5" t="s">
        <v>31</v>
      </c>
      <c r="I9" s="5" t="s">
        <v>32</v>
      </c>
      <c r="J9" s="5" t="s">
        <v>33</v>
      </c>
      <c r="K9" s="5" t="s">
        <v>34</v>
      </c>
      <c r="L9" s="114" t="s">
        <v>35</v>
      </c>
      <c r="M9" s="455"/>
      <c r="N9" s="40" t="s">
        <v>28</v>
      </c>
      <c r="O9" s="40" t="s">
        <v>29</v>
      </c>
      <c r="P9" s="40" t="s">
        <v>30</v>
      </c>
      <c r="Q9" s="40" t="s">
        <v>31</v>
      </c>
      <c r="R9" s="40" t="s">
        <v>32</v>
      </c>
      <c r="S9" s="40" t="s">
        <v>33</v>
      </c>
      <c r="T9" s="40" t="s">
        <v>34</v>
      </c>
      <c r="U9" s="40" t="s">
        <v>35</v>
      </c>
      <c r="V9" s="469"/>
    </row>
    <row r="10" spans="1:22" ht="18">
      <c r="A10" s="6" t="s">
        <v>161</v>
      </c>
      <c r="B10" s="6"/>
      <c r="C10" s="78" t="s">
        <v>39</v>
      </c>
      <c r="D10" s="79">
        <f aca="true" t="shared" si="0" ref="D10:D20">SUM(E10:L10)</f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64">
        <v>0</v>
      </c>
      <c r="M10" s="79">
        <f aca="true" t="shared" si="1" ref="M10:M20">SUM(N10:U10)</f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64">
        <v>0</v>
      </c>
      <c r="V10" s="469"/>
    </row>
    <row r="11" spans="1:22" ht="18">
      <c r="A11" s="6" t="s">
        <v>162</v>
      </c>
      <c r="B11" s="6"/>
      <c r="C11" s="41" t="s">
        <v>41</v>
      </c>
      <c r="D11" s="7">
        <f t="shared" si="0"/>
        <v>13000000</v>
      </c>
      <c r="E11" s="58">
        <f>SUM(E12:E20)</f>
        <v>0</v>
      </c>
      <c r="F11" s="58">
        <f aca="true" t="shared" si="2" ref="F11:L11">SUM(F12:F20)</f>
        <v>0</v>
      </c>
      <c r="G11" s="58">
        <f t="shared" si="2"/>
        <v>0</v>
      </c>
      <c r="H11" s="58">
        <f t="shared" si="2"/>
        <v>0</v>
      </c>
      <c r="I11" s="58">
        <f t="shared" si="2"/>
        <v>13000000</v>
      </c>
      <c r="J11" s="58">
        <f t="shared" si="2"/>
        <v>0</v>
      </c>
      <c r="K11" s="58">
        <f t="shared" si="2"/>
        <v>0</v>
      </c>
      <c r="L11" s="58">
        <f t="shared" si="2"/>
        <v>0</v>
      </c>
      <c r="M11" s="7">
        <f t="shared" si="1"/>
        <v>13000000</v>
      </c>
      <c r="N11" s="58">
        <f>SUM(N12:N20)</f>
        <v>0</v>
      </c>
      <c r="O11" s="58">
        <f aca="true" t="shared" si="3" ref="O11:U11">SUM(O12:O20)</f>
        <v>0</v>
      </c>
      <c r="P11" s="58">
        <f t="shared" si="3"/>
        <v>0</v>
      </c>
      <c r="Q11" s="58">
        <f t="shared" si="3"/>
        <v>0</v>
      </c>
      <c r="R11" s="58">
        <f t="shared" si="3"/>
        <v>13000000</v>
      </c>
      <c r="S11" s="58">
        <f t="shared" si="3"/>
        <v>0</v>
      </c>
      <c r="T11" s="58">
        <f t="shared" si="3"/>
        <v>0</v>
      </c>
      <c r="U11" s="58">
        <f t="shared" si="3"/>
        <v>0</v>
      </c>
      <c r="V11" s="469"/>
    </row>
    <row r="12" spans="1:22" ht="45">
      <c r="A12" s="6"/>
      <c r="B12" s="6" t="s">
        <v>643</v>
      </c>
      <c r="C12" s="67" t="s">
        <v>644</v>
      </c>
      <c r="D12" s="52">
        <f t="shared" si="0"/>
        <v>1000000</v>
      </c>
      <c r="E12" s="53">
        <v>0</v>
      </c>
      <c r="F12" s="53">
        <v>0</v>
      </c>
      <c r="G12" s="53">
        <v>0</v>
      </c>
      <c r="H12" s="53">
        <v>0</v>
      </c>
      <c r="I12" s="53">
        <v>1000000</v>
      </c>
      <c r="J12" s="53">
        <v>0</v>
      </c>
      <c r="K12" s="53">
        <v>0</v>
      </c>
      <c r="L12" s="115">
        <v>0</v>
      </c>
      <c r="M12" s="52">
        <f t="shared" si="1"/>
        <v>1000000</v>
      </c>
      <c r="N12" s="53">
        <v>0</v>
      </c>
      <c r="O12" s="53">
        <v>0</v>
      </c>
      <c r="P12" s="53">
        <v>0</v>
      </c>
      <c r="Q12" s="53">
        <v>0</v>
      </c>
      <c r="R12" s="53">
        <v>1000000</v>
      </c>
      <c r="S12" s="53">
        <v>0</v>
      </c>
      <c r="T12" s="53">
        <v>0</v>
      </c>
      <c r="U12" s="115">
        <v>0</v>
      </c>
      <c r="V12" s="170" t="s">
        <v>1231</v>
      </c>
    </row>
    <row r="13" spans="1:22" ht="45">
      <c r="A13" s="6"/>
      <c r="B13" s="6" t="s">
        <v>645</v>
      </c>
      <c r="C13" s="67" t="s">
        <v>646</v>
      </c>
      <c r="D13" s="52">
        <f t="shared" si="0"/>
        <v>4000000</v>
      </c>
      <c r="E13" s="53">
        <v>0</v>
      </c>
      <c r="F13" s="53">
        <v>0</v>
      </c>
      <c r="G13" s="53">
        <v>0</v>
      </c>
      <c r="H13" s="53">
        <v>0</v>
      </c>
      <c r="I13" s="53">
        <v>4000000</v>
      </c>
      <c r="J13" s="53">
        <v>0</v>
      </c>
      <c r="K13" s="53">
        <v>0</v>
      </c>
      <c r="L13" s="115">
        <v>0</v>
      </c>
      <c r="M13" s="52">
        <f t="shared" si="1"/>
        <v>4000000</v>
      </c>
      <c r="N13" s="53">
        <v>0</v>
      </c>
      <c r="O13" s="53">
        <v>0</v>
      </c>
      <c r="P13" s="53">
        <v>0</v>
      </c>
      <c r="Q13" s="53">
        <v>0</v>
      </c>
      <c r="R13" s="53">
        <v>4000000</v>
      </c>
      <c r="S13" s="53">
        <v>0</v>
      </c>
      <c r="T13" s="53">
        <v>0</v>
      </c>
      <c r="U13" s="115">
        <v>0</v>
      </c>
      <c r="V13" s="170" t="s">
        <v>1232</v>
      </c>
    </row>
    <row r="14" spans="1:22" ht="45">
      <c r="A14" s="6"/>
      <c r="B14" s="6" t="s">
        <v>647</v>
      </c>
      <c r="C14" s="67" t="s">
        <v>648</v>
      </c>
      <c r="D14" s="52">
        <f t="shared" si="0"/>
        <v>1000000</v>
      </c>
      <c r="E14" s="53">
        <v>0</v>
      </c>
      <c r="F14" s="53">
        <v>0</v>
      </c>
      <c r="G14" s="53">
        <v>0</v>
      </c>
      <c r="H14" s="53">
        <v>0</v>
      </c>
      <c r="I14" s="53">
        <v>1000000</v>
      </c>
      <c r="J14" s="53">
        <v>0</v>
      </c>
      <c r="K14" s="53">
        <v>0</v>
      </c>
      <c r="L14" s="115">
        <v>0</v>
      </c>
      <c r="M14" s="52">
        <f t="shared" si="1"/>
        <v>1000000</v>
      </c>
      <c r="N14" s="53">
        <v>0</v>
      </c>
      <c r="O14" s="53">
        <v>0</v>
      </c>
      <c r="P14" s="53">
        <v>0</v>
      </c>
      <c r="Q14" s="53">
        <v>0</v>
      </c>
      <c r="R14" s="53">
        <v>1000000</v>
      </c>
      <c r="S14" s="53">
        <v>0</v>
      </c>
      <c r="T14" s="53">
        <v>0</v>
      </c>
      <c r="U14" s="115">
        <v>0</v>
      </c>
      <c r="V14" s="170" t="s">
        <v>1233</v>
      </c>
    </row>
    <row r="15" spans="1:22" ht="45">
      <c r="A15" s="6"/>
      <c r="B15" s="6" t="s">
        <v>649</v>
      </c>
      <c r="C15" s="67" t="s">
        <v>650</v>
      </c>
      <c r="D15" s="52">
        <f t="shared" si="0"/>
        <v>1500000</v>
      </c>
      <c r="E15" s="53">
        <v>0</v>
      </c>
      <c r="F15" s="53">
        <v>0</v>
      </c>
      <c r="G15" s="53">
        <v>0</v>
      </c>
      <c r="H15" s="53">
        <v>0</v>
      </c>
      <c r="I15" s="53">
        <v>1500000</v>
      </c>
      <c r="J15" s="53">
        <v>0</v>
      </c>
      <c r="K15" s="53">
        <v>0</v>
      </c>
      <c r="L15" s="115">
        <v>0</v>
      </c>
      <c r="M15" s="52">
        <f t="shared" si="1"/>
        <v>1500000</v>
      </c>
      <c r="N15" s="53">
        <v>0</v>
      </c>
      <c r="O15" s="53">
        <v>0</v>
      </c>
      <c r="P15" s="53">
        <v>0</v>
      </c>
      <c r="Q15" s="53">
        <v>0</v>
      </c>
      <c r="R15" s="53">
        <v>1500000</v>
      </c>
      <c r="S15" s="53">
        <v>0</v>
      </c>
      <c r="T15" s="53">
        <v>0</v>
      </c>
      <c r="U15" s="115">
        <v>0</v>
      </c>
      <c r="V15" s="170" t="s">
        <v>1234</v>
      </c>
    </row>
    <row r="16" spans="1:22" ht="45">
      <c r="A16" s="6"/>
      <c r="B16" s="6" t="s">
        <v>651</v>
      </c>
      <c r="C16" s="67" t="s">
        <v>652</v>
      </c>
      <c r="D16" s="52">
        <f t="shared" si="0"/>
        <v>1500000</v>
      </c>
      <c r="E16" s="53">
        <v>0</v>
      </c>
      <c r="F16" s="53">
        <v>0</v>
      </c>
      <c r="G16" s="53">
        <v>0</v>
      </c>
      <c r="H16" s="53">
        <v>0</v>
      </c>
      <c r="I16" s="53">
        <v>1500000</v>
      </c>
      <c r="J16" s="53">
        <v>0</v>
      </c>
      <c r="K16" s="53">
        <v>0</v>
      </c>
      <c r="L16" s="115">
        <v>0</v>
      </c>
      <c r="M16" s="52">
        <f t="shared" si="1"/>
        <v>1500000</v>
      </c>
      <c r="N16" s="53">
        <v>0</v>
      </c>
      <c r="O16" s="53">
        <v>0</v>
      </c>
      <c r="P16" s="53">
        <v>0</v>
      </c>
      <c r="Q16" s="53">
        <v>0</v>
      </c>
      <c r="R16" s="53">
        <v>1500000</v>
      </c>
      <c r="S16" s="53">
        <v>0</v>
      </c>
      <c r="T16" s="53">
        <v>0</v>
      </c>
      <c r="U16" s="115">
        <v>0</v>
      </c>
      <c r="V16" s="170" t="s">
        <v>1235</v>
      </c>
    </row>
    <row r="17" spans="1:22" ht="45">
      <c r="A17" s="6"/>
      <c r="B17" s="6" t="s">
        <v>653</v>
      </c>
      <c r="C17" s="67" t="s">
        <v>654</v>
      </c>
      <c r="D17" s="52">
        <f t="shared" si="0"/>
        <v>1000000</v>
      </c>
      <c r="E17" s="53">
        <v>0</v>
      </c>
      <c r="F17" s="53">
        <v>0</v>
      </c>
      <c r="G17" s="53">
        <v>0</v>
      </c>
      <c r="H17" s="53">
        <v>0</v>
      </c>
      <c r="I17" s="53">
        <v>1000000</v>
      </c>
      <c r="J17" s="53">
        <v>0</v>
      </c>
      <c r="K17" s="53">
        <v>0</v>
      </c>
      <c r="L17" s="115">
        <v>0</v>
      </c>
      <c r="M17" s="52">
        <f t="shared" si="1"/>
        <v>1000000</v>
      </c>
      <c r="N17" s="53">
        <v>0</v>
      </c>
      <c r="O17" s="53">
        <v>0</v>
      </c>
      <c r="P17" s="53">
        <v>0</v>
      </c>
      <c r="Q17" s="53">
        <v>0</v>
      </c>
      <c r="R17" s="53">
        <v>1000000</v>
      </c>
      <c r="S17" s="53">
        <v>0</v>
      </c>
      <c r="T17" s="53">
        <v>0</v>
      </c>
      <c r="U17" s="115">
        <v>0</v>
      </c>
      <c r="V17" s="170" t="s">
        <v>1236</v>
      </c>
    </row>
    <row r="18" spans="1:22" ht="45">
      <c r="A18" s="6"/>
      <c r="B18" s="6" t="s">
        <v>655</v>
      </c>
      <c r="C18" s="67" t="s">
        <v>656</v>
      </c>
      <c r="D18" s="52">
        <f t="shared" si="0"/>
        <v>1000000</v>
      </c>
      <c r="E18" s="53">
        <v>0</v>
      </c>
      <c r="F18" s="53">
        <v>0</v>
      </c>
      <c r="G18" s="53">
        <v>0</v>
      </c>
      <c r="H18" s="53">
        <v>0</v>
      </c>
      <c r="I18" s="53">
        <v>1000000</v>
      </c>
      <c r="J18" s="53">
        <v>0</v>
      </c>
      <c r="K18" s="53">
        <v>0</v>
      </c>
      <c r="L18" s="115">
        <v>0</v>
      </c>
      <c r="M18" s="52">
        <f t="shared" si="1"/>
        <v>1000000</v>
      </c>
      <c r="N18" s="53">
        <v>0</v>
      </c>
      <c r="O18" s="53">
        <v>0</v>
      </c>
      <c r="P18" s="53">
        <v>0</v>
      </c>
      <c r="Q18" s="53">
        <v>0</v>
      </c>
      <c r="R18" s="53">
        <v>1000000</v>
      </c>
      <c r="S18" s="53">
        <v>0</v>
      </c>
      <c r="T18" s="53">
        <v>0</v>
      </c>
      <c r="U18" s="115">
        <v>0</v>
      </c>
      <c r="V18" s="170" t="s">
        <v>1237</v>
      </c>
    </row>
    <row r="19" spans="1:22" ht="45">
      <c r="A19" s="6"/>
      <c r="B19" s="6" t="s">
        <v>1258</v>
      </c>
      <c r="C19" s="67" t="s">
        <v>1260</v>
      </c>
      <c r="D19" s="52">
        <f t="shared" si="0"/>
        <v>1000000</v>
      </c>
      <c r="E19" s="53">
        <v>0</v>
      </c>
      <c r="F19" s="53">
        <v>0</v>
      </c>
      <c r="G19" s="53">
        <v>0</v>
      </c>
      <c r="H19" s="53">
        <v>0</v>
      </c>
      <c r="I19" s="53">
        <v>1000000</v>
      </c>
      <c r="J19" s="53">
        <v>0</v>
      </c>
      <c r="K19" s="53">
        <v>0</v>
      </c>
      <c r="L19" s="115">
        <v>0</v>
      </c>
      <c r="M19" s="52">
        <f t="shared" si="1"/>
        <v>1000000</v>
      </c>
      <c r="N19" s="53">
        <v>0</v>
      </c>
      <c r="O19" s="53">
        <v>0</v>
      </c>
      <c r="P19" s="53">
        <v>0</v>
      </c>
      <c r="Q19" s="53">
        <v>0</v>
      </c>
      <c r="R19" s="53">
        <v>1000000</v>
      </c>
      <c r="S19" s="53">
        <v>0</v>
      </c>
      <c r="T19" s="53">
        <v>0</v>
      </c>
      <c r="U19" s="115">
        <v>0</v>
      </c>
      <c r="V19" s="214">
        <v>58508</v>
      </c>
    </row>
    <row r="20" spans="1:22" ht="45">
      <c r="A20" s="6"/>
      <c r="B20" s="6" t="s">
        <v>1259</v>
      </c>
      <c r="C20" s="67" t="s">
        <v>1261</v>
      </c>
      <c r="D20" s="52">
        <f t="shared" si="0"/>
        <v>1000000</v>
      </c>
      <c r="E20" s="53">
        <v>0</v>
      </c>
      <c r="F20" s="53">
        <v>0</v>
      </c>
      <c r="G20" s="53">
        <v>0</v>
      </c>
      <c r="H20" s="53">
        <v>0</v>
      </c>
      <c r="I20" s="53">
        <v>1000000</v>
      </c>
      <c r="J20" s="53">
        <v>0</v>
      </c>
      <c r="K20" s="53">
        <v>0</v>
      </c>
      <c r="L20" s="115">
        <v>0</v>
      </c>
      <c r="M20" s="52">
        <f t="shared" si="1"/>
        <v>1000000</v>
      </c>
      <c r="N20" s="53">
        <v>0</v>
      </c>
      <c r="O20" s="53">
        <v>0</v>
      </c>
      <c r="P20" s="53">
        <v>0</v>
      </c>
      <c r="Q20" s="53">
        <v>0</v>
      </c>
      <c r="R20" s="53">
        <v>1000000</v>
      </c>
      <c r="S20" s="53">
        <v>0</v>
      </c>
      <c r="T20" s="53">
        <v>0</v>
      </c>
      <c r="U20" s="115">
        <v>0</v>
      </c>
      <c r="V20" s="214">
        <v>58509</v>
      </c>
    </row>
    <row r="21" spans="1:22" ht="46.5" customHeight="1">
      <c r="A21" s="6" t="s">
        <v>163</v>
      </c>
      <c r="B21" s="6"/>
      <c r="C21" s="41" t="s">
        <v>43</v>
      </c>
      <c r="D21" s="10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61">
        <v>0</v>
      </c>
      <c r="M21" s="10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61">
        <v>0</v>
      </c>
      <c r="V21" s="172"/>
    </row>
    <row r="22" spans="1:22" ht="27.75" customHeight="1">
      <c r="A22" s="454" t="s">
        <v>286</v>
      </c>
      <c r="B22" s="454"/>
      <c r="C22" s="454"/>
      <c r="D22" s="10">
        <f>SUM(E22:L22)</f>
        <v>13000000</v>
      </c>
      <c r="E22" s="58">
        <f aca="true" t="shared" si="4" ref="E22:L22">E10+E11+E21</f>
        <v>0</v>
      </c>
      <c r="F22" s="58">
        <f t="shared" si="4"/>
        <v>0</v>
      </c>
      <c r="G22" s="58">
        <f t="shared" si="4"/>
        <v>0</v>
      </c>
      <c r="H22" s="58">
        <f t="shared" si="4"/>
        <v>0</v>
      </c>
      <c r="I22" s="58">
        <f t="shared" si="4"/>
        <v>13000000</v>
      </c>
      <c r="J22" s="58">
        <f t="shared" si="4"/>
        <v>0</v>
      </c>
      <c r="K22" s="58">
        <f t="shared" si="4"/>
        <v>0</v>
      </c>
      <c r="L22" s="64">
        <f t="shared" si="4"/>
        <v>0</v>
      </c>
      <c r="M22" s="10">
        <f>SUM(N22:U22)</f>
        <v>13000000</v>
      </c>
      <c r="N22" s="58">
        <f aca="true" t="shared" si="5" ref="N22:U22">N10+N11+N21</f>
        <v>0</v>
      </c>
      <c r="O22" s="58">
        <f t="shared" si="5"/>
        <v>0</v>
      </c>
      <c r="P22" s="58">
        <f t="shared" si="5"/>
        <v>0</v>
      </c>
      <c r="Q22" s="58">
        <f t="shared" si="5"/>
        <v>0</v>
      </c>
      <c r="R22" s="58">
        <f t="shared" si="5"/>
        <v>13000000</v>
      </c>
      <c r="S22" s="58">
        <f t="shared" si="5"/>
        <v>0</v>
      </c>
      <c r="T22" s="58">
        <f t="shared" si="5"/>
        <v>0</v>
      </c>
      <c r="U22" s="64">
        <f t="shared" si="5"/>
        <v>0</v>
      </c>
      <c r="V22" s="172"/>
    </row>
    <row r="33" spans="11:21" ht="12.75">
      <c r="K33" s="11"/>
      <c r="L33" s="11"/>
      <c r="T33" s="11"/>
      <c r="U33" s="11"/>
    </row>
    <row r="34" spans="11:21" ht="12.75">
      <c r="K34" s="11"/>
      <c r="L34" s="11"/>
      <c r="T34" s="11"/>
      <c r="U34" s="11"/>
    </row>
    <row r="35" spans="11:21" ht="12.75">
      <c r="K35" s="11"/>
      <c r="L35" s="11"/>
      <c r="T35" s="11"/>
      <c r="U35" s="11"/>
    </row>
    <row r="36" spans="11:21" ht="12.75">
      <c r="K36" s="11"/>
      <c r="L36" s="11"/>
      <c r="T36" s="11"/>
      <c r="U36" s="11"/>
    </row>
    <row r="37" spans="11:21" ht="12.75">
      <c r="K37" s="11"/>
      <c r="L37" s="11"/>
      <c r="T37" s="11"/>
      <c r="U37" s="11"/>
    </row>
    <row r="38" spans="11:21" ht="12.75">
      <c r="K38" s="11"/>
      <c r="L38" s="11" t="s">
        <v>428</v>
      </c>
      <c r="T38" s="11"/>
      <c r="U38" s="11" t="s">
        <v>428</v>
      </c>
    </row>
  </sheetData>
  <sheetProtection selectLockedCells="1" selectUnlockedCells="1"/>
  <mergeCells count="17">
    <mergeCell ref="A22:C22"/>
    <mergeCell ref="E8:I8"/>
    <mergeCell ref="J8:L8"/>
    <mergeCell ref="A7:A9"/>
    <mergeCell ref="B7:B9"/>
    <mergeCell ref="V7:V11"/>
    <mergeCell ref="S8:U8"/>
    <mergeCell ref="C7:C9"/>
    <mergeCell ref="N8:R8"/>
    <mergeCell ref="A1:V1"/>
    <mergeCell ref="A3:V3"/>
    <mergeCell ref="A4:V4"/>
    <mergeCell ref="D7:D9"/>
    <mergeCell ref="E7:L7"/>
    <mergeCell ref="N7:U7"/>
    <mergeCell ref="M7:M9"/>
    <mergeCell ref="A2:V2"/>
  </mergeCells>
  <printOptions horizontalCentered="1" verticalCentered="1"/>
  <pageMargins left="0.2361111111111111" right="0.2361111111111111" top="0.7479166666666667" bottom="0.15763888888888888" header="0.5118055555555555" footer="0.5118055555555555"/>
  <pageSetup fitToHeight="1" fitToWidth="1" horizontalDpi="600" verticalDpi="600" orientation="landscape" paperSize="9" scale="4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1"/>
  <sheetViews>
    <sheetView view="pageBreakPreview" zoomScale="71" zoomScaleNormal="71" zoomScaleSheetLayoutView="71" zoomScalePageLayoutView="0" workbookViewId="0" topLeftCell="A1">
      <selection activeCell="A1" sqref="A1:V1"/>
    </sheetView>
  </sheetViews>
  <sheetFormatPr defaultColWidth="9.140625" defaultRowHeight="12.75"/>
  <cols>
    <col min="1" max="1" width="6.421875" style="0" customWidth="1"/>
    <col min="2" max="2" width="10.00390625" style="0" customWidth="1"/>
    <col min="3" max="3" width="60.57421875" style="0" customWidth="1"/>
    <col min="4" max="4" width="33.57421875" style="0" bestFit="1" customWidth="1"/>
    <col min="5" max="5" width="14.57421875" style="0" customWidth="1"/>
    <col min="6" max="6" width="15.8515625" style="0" customWidth="1"/>
    <col min="7" max="8" width="14.57421875" style="0" customWidth="1"/>
    <col min="9" max="9" width="25.00390625" style="0" customWidth="1"/>
    <col min="10" max="12" width="14.57421875" style="0" customWidth="1"/>
    <col min="13" max="13" width="33.57421875" style="0" bestFit="1" customWidth="1"/>
    <col min="14" max="14" width="14.57421875" style="0" customWidth="1"/>
    <col min="15" max="15" width="15.8515625" style="0" customWidth="1"/>
    <col min="16" max="17" width="14.57421875" style="0" customWidth="1"/>
    <col min="18" max="18" width="25.00390625" style="0" customWidth="1"/>
    <col min="19" max="21" width="14.57421875" style="0" customWidth="1"/>
    <col min="22" max="22" width="16.140625" style="0" customWidth="1"/>
  </cols>
  <sheetData>
    <row r="1" spans="1:22" ht="20.25" customHeight="1">
      <c r="A1" s="499" t="s">
        <v>1555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</row>
    <row r="2" spans="1:22" ht="18">
      <c r="A2" s="416" t="s">
        <v>1528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</row>
    <row r="3" spans="1:22" ht="18" customHeight="1">
      <c r="A3" s="423" t="s">
        <v>657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</row>
    <row r="4" spans="1:22" ht="18">
      <c r="A4" s="497" t="s">
        <v>658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V5" s="111" t="s">
        <v>0</v>
      </c>
    </row>
    <row r="6" spans="1:22" ht="14.2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60" t="s">
        <v>11</v>
      </c>
      <c r="L6" s="116" t="s">
        <v>12</v>
      </c>
      <c r="M6" s="337" t="s">
        <v>13</v>
      </c>
      <c r="N6" s="144" t="s">
        <v>14</v>
      </c>
      <c r="O6" s="144" t="s">
        <v>15</v>
      </c>
      <c r="P6" s="144" t="s">
        <v>16</v>
      </c>
      <c r="Q6" s="144" t="s">
        <v>17</v>
      </c>
      <c r="R6" s="144" t="s">
        <v>18</v>
      </c>
      <c r="S6" s="145" t="s">
        <v>19</v>
      </c>
      <c r="T6" s="144" t="s">
        <v>20</v>
      </c>
      <c r="U6" s="146" t="s">
        <v>21</v>
      </c>
      <c r="V6" s="127" t="s">
        <v>179</v>
      </c>
    </row>
    <row r="7" spans="1:22" ht="12.75" customHeight="1">
      <c r="A7" s="413" t="s">
        <v>23</v>
      </c>
      <c r="B7" s="413" t="s">
        <v>183</v>
      </c>
      <c r="C7" s="406" t="s">
        <v>24</v>
      </c>
      <c r="D7" s="406" t="s">
        <v>1262</v>
      </c>
      <c r="E7" s="455" t="s">
        <v>25</v>
      </c>
      <c r="F7" s="455"/>
      <c r="G7" s="455"/>
      <c r="H7" s="455"/>
      <c r="I7" s="455"/>
      <c r="J7" s="455"/>
      <c r="K7" s="455"/>
      <c r="L7" s="456"/>
      <c r="M7" s="455" t="s">
        <v>1467</v>
      </c>
      <c r="N7" s="455" t="s">
        <v>1466</v>
      </c>
      <c r="O7" s="455"/>
      <c r="P7" s="455"/>
      <c r="Q7" s="455"/>
      <c r="R7" s="455"/>
      <c r="S7" s="455"/>
      <c r="T7" s="455"/>
      <c r="U7" s="455"/>
      <c r="V7" s="529" t="s">
        <v>1012</v>
      </c>
    </row>
    <row r="8" spans="1:22" ht="12.75" customHeight="1">
      <c r="A8" s="413"/>
      <c r="B8" s="413"/>
      <c r="C8" s="406"/>
      <c r="D8" s="406"/>
      <c r="E8" s="405" t="s">
        <v>26</v>
      </c>
      <c r="F8" s="405"/>
      <c r="G8" s="405"/>
      <c r="H8" s="405"/>
      <c r="I8" s="405"/>
      <c r="J8" s="405" t="s">
        <v>27</v>
      </c>
      <c r="K8" s="405"/>
      <c r="L8" s="457"/>
      <c r="M8" s="455"/>
      <c r="N8" s="501" t="s">
        <v>26</v>
      </c>
      <c r="O8" s="501"/>
      <c r="P8" s="501"/>
      <c r="Q8" s="501"/>
      <c r="R8" s="501"/>
      <c r="S8" s="501" t="s">
        <v>27</v>
      </c>
      <c r="T8" s="501"/>
      <c r="U8" s="501"/>
      <c r="V8" s="529"/>
    </row>
    <row r="9" spans="1:22" ht="114.75" customHeight="1">
      <c r="A9" s="413"/>
      <c r="B9" s="413"/>
      <c r="C9" s="406"/>
      <c r="D9" s="406"/>
      <c r="E9" s="5" t="s">
        <v>28</v>
      </c>
      <c r="F9" s="5" t="s">
        <v>29</v>
      </c>
      <c r="G9" s="5" t="s">
        <v>30</v>
      </c>
      <c r="H9" s="5" t="s">
        <v>31</v>
      </c>
      <c r="I9" s="5" t="s">
        <v>32</v>
      </c>
      <c r="J9" s="5" t="s">
        <v>33</v>
      </c>
      <c r="K9" s="5" t="s">
        <v>34</v>
      </c>
      <c r="L9" s="114" t="s">
        <v>35</v>
      </c>
      <c r="M9" s="455"/>
      <c r="N9" s="40" t="s">
        <v>28</v>
      </c>
      <c r="O9" s="40" t="s">
        <v>29</v>
      </c>
      <c r="P9" s="40" t="s">
        <v>30</v>
      </c>
      <c r="Q9" s="40" t="s">
        <v>31</v>
      </c>
      <c r="R9" s="40" t="s">
        <v>32</v>
      </c>
      <c r="S9" s="40" t="s">
        <v>33</v>
      </c>
      <c r="T9" s="40" t="s">
        <v>34</v>
      </c>
      <c r="U9" s="40" t="s">
        <v>35</v>
      </c>
      <c r="V9" s="529"/>
    </row>
    <row r="10" spans="1:22" ht="20.25" customHeight="1">
      <c r="A10" s="91" t="s">
        <v>171</v>
      </c>
      <c r="B10" s="91"/>
      <c r="C10" s="92" t="s">
        <v>39</v>
      </c>
      <c r="D10" s="106">
        <f aca="true" t="shared" si="0" ref="D10:D25">SUM(E10:L10)</f>
        <v>512668480</v>
      </c>
      <c r="E10" s="107">
        <f aca="true" t="shared" si="1" ref="E10:L10">SUM(E11:E20)</f>
        <v>0</v>
      </c>
      <c r="F10" s="107">
        <f t="shared" si="1"/>
        <v>0</v>
      </c>
      <c r="G10" s="107">
        <f t="shared" si="1"/>
        <v>0</v>
      </c>
      <c r="H10" s="107">
        <f t="shared" si="1"/>
        <v>0</v>
      </c>
      <c r="I10" s="107">
        <f>SUM(I11:I22)</f>
        <v>512668480</v>
      </c>
      <c r="J10" s="107">
        <f t="shared" si="1"/>
        <v>0</v>
      </c>
      <c r="K10" s="107">
        <f t="shared" si="1"/>
        <v>0</v>
      </c>
      <c r="L10" s="149">
        <f t="shared" si="1"/>
        <v>0</v>
      </c>
      <c r="M10" s="106">
        <f aca="true" t="shared" si="2" ref="M10:M25">SUM(N10:U10)</f>
        <v>267576174</v>
      </c>
      <c r="N10" s="107">
        <f>SUM(N11:N20)</f>
        <v>0</v>
      </c>
      <c r="O10" s="107">
        <f>SUM(O11:O20)</f>
        <v>0</v>
      </c>
      <c r="P10" s="107">
        <f>SUM(P11:P20)</f>
        <v>0</v>
      </c>
      <c r="Q10" s="107">
        <f>SUM(Q11:Q20)</f>
        <v>0</v>
      </c>
      <c r="R10" s="107">
        <f>SUM(R11:R22)</f>
        <v>267576174</v>
      </c>
      <c r="S10" s="107">
        <f>SUM(S11:S20)</f>
        <v>0</v>
      </c>
      <c r="T10" s="107">
        <f>SUM(T11:T20)</f>
        <v>0</v>
      </c>
      <c r="U10" s="149">
        <f>SUM(U11:U20)</f>
        <v>0</v>
      </c>
      <c r="V10" s="529"/>
    </row>
    <row r="11" spans="1:22" ht="20.25">
      <c r="A11" s="91"/>
      <c r="B11" s="91" t="s">
        <v>659</v>
      </c>
      <c r="C11" s="108" t="s">
        <v>1273</v>
      </c>
      <c r="D11" s="104">
        <f t="shared" si="0"/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4">
        <f t="shared" si="2"/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67" t="s">
        <v>1252</v>
      </c>
    </row>
    <row r="12" spans="1:22" ht="20.25">
      <c r="A12" s="91"/>
      <c r="B12" s="91" t="s">
        <v>660</v>
      </c>
      <c r="C12" s="108" t="s">
        <v>1274</v>
      </c>
      <c r="D12" s="104">
        <f t="shared" si="0"/>
        <v>3500000</v>
      </c>
      <c r="E12" s="103">
        <v>0</v>
      </c>
      <c r="F12" s="103">
        <v>0</v>
      </c>
      <c r="G12" s="103">
        <v>0</v>
      </c>
      <c r="H12" s="103">
        <v>0</v>
      </c>
      <c r="I12" s="103">
        <v>3500000</v>
      </c>
      <c r="J12" s="103">
        <v>0</v>
      </c>
      <c r="K12" s="103">
        <v>0</v>
      </c>
      <c r="L12" s="103">
        <v>0</v>
      </c>
      <c r="M12" s="104">
        <f t="shared" si="2"/>
        <v>3500000</v>
      </c>
      <c r="N12" s="103">
        <v>0</v>
      </c>
      <c r="O12" s="103">
        <v>0</v>
      </c>
      <c r="P12" s="103">
        <v>0</v>
      </c>
      <c r="Q12" s="103">
        <v>0</v>
      </c>
      <c r="R12" s="103">
        <v>3500000</v>
      </c>
      <c r="S12" s="103">
        <v>0</v>
      </c>
      <c r="T12" s="103">
        <v>0</v>
      </c>
      <c r="U12" s="103">
        <v>0</v>
      </c>
      <c r="V12" s="167" t="s">
        <v>1253</v>
      </c>
    </row>
    <row r="13" spans="1:22" ht="20.25">
      <c r="A13" s="91"/>
      <c r="B13" s="91" t="s">
        <v>661</v>
      </c>
      <c r="C13" s="108" t="s">
        <v>1275</v>
      </c>
      <c r="D13" s="104">
        <f t="shared" si="0"/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4">
        <f t="shared" si="2"/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67" t="s">
        <v>1254</v>
      </c>
    </row>
    <row r="14" spans="1:22" ht="30">
      <c r="A14" s="91"/>
      <c r="B14" s="91" t="s">
        <v>662</v>
      </c>
      <c r="C14" s="109" t="s">
        <v>663</v>
      </c>
      <c r="D14" s="104">
        <f t="shared" si="0"/>
        <v>45868480</v>
      </c>
      <c r="E14" s="103">
        <v>0</v>
      </c>
      <c r="F14" s="103">
        <v>0</v>
      </c>
      <c r="G14" s="103">
        <v>0</v>
      </c>
      <c r="H14" s="103">
        <v>0</v>
      </c>
      <c r="I14" s="103">
        <v>45868480</v>
      </c>
      <c r="J14" s="103">
        <v>0</v>
      </c>
      <c r="K14" s="103">
        <v>0</v>
      </c>
      <c r="L14" s="103">
        <v>0</v>
      </c>
      <c r="M14" s="104">
        <f t="shared" si="2"/>
        <v>11008439</v>
      </c>
      <c r="N14" s="103">
        <v>0</v>
      </c>
      <c r="O14" s="103">
        <v>0</v>
      </c>
      <c r="P14" s="103">
        <v>0</v>
      </c>
      <c r="Q14" s="103">
        <v>0</v>
      </c>
      <c r="R14" s="103">
        <v>11008439</v>
      </c>
      <c r="S14" s="103">
        <v>0</v>
      </c>
      <c r="T14" s="103">
        <v>0</v>
      </c>
      <c r="U14" s="103">
        <v>0</v>
      </c>
      <c r="V14" s="168" t="s">
        <v>1238</v>
      </c>
    </row>
    <row r="15" spans="1:22" ht="20.25">
      <c r="A15" s="91"/>
      <c r="B15" s="91" t="s">
        <v>664</v>
      </c>
      <c r="C15" s="109" t="s">
        <v>761</v>
      </c>
      <c r="D15" s="104">
        <f t="shared" si="0"/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4">
        <f t="shared" si="2"/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68" t="s">
        <v>1239</v>
      </c>
    </row>
    <row r="16" spans="1:22" ht="20.25">
      <c r="A16" s="91"/>
      <c r="B16" s="91" t="s">
        <v>665</v>
      </c>
      <c r="C16" s="109" t="s">
        <v>762</v>
      </c>
      <c r="D16" s="104">
        <f t="shared" si="0"/>
        <v>50000000</v>
      </c>
      <c r="E16" s="103">
        <v>0</v>
      </c>
      <c r="F16" s="103">
        <v>0</v>
      </c>
      <c r="G16" s="103">
        <v>0</v>
      </c>
      <c r="H16" s="103">
        <v>0</v>
      </c>
      <c r="I16" s="103">
        <v>50000000</v>
      </c>
      <c r="J16" s="103">
        <v>0</v>
      </c>
      <c r="K16" s="103">
        <v>0</v>
      </c>
      <c r="L16" s="103">
        <v>0</v>
      </c>
      <c r="M16" s="104">
        <f t="shared" si="2"/>
        <v>50000000</v>
      </c>
      <c r="N16" s="103">
        <v>0</v>
      </c>
      <c r="O16" s="103">
        <v>0</v>
      </c>
      <c r="P16" s="103">
        <v>0</v>
      </c>
      <c r="Q16" s="103">
        <v>0</v>
      </c>
      <c r="R16" s="103">
        <v>50000000</v>
      </c>
      <c r="S16" s="103">
        <v>0</v>
      </c>
      <c r="T16" s="103">
        <v>0</v>
      </c>
      <c r="U16" s="103">
        <v>0</v>
      </c>
      <c r="V16" s="168" t="s">
        <v>1240</v>
      </c>
    </row>
    <row r="17" spans="1:22" ht="20.25">
      <c r="A17" s="91"/>
      <c r="B17" s="91" t="s">
        <v>666</v>
      </c>
      <c r="C17" s="109" t="s">
        <v>667</v>
      </c>
      <c r="D17" s="104">
        <f>SUM(E17:L17)</f>
        <v>250000000</v>
      </c>
      <c r="E17" s="103">
        <v>0</v>
      </c>
      <c r="F17" s="103">
        <v>0</v>
      </c>
      <c r="G17" s="103">
        <v>0</v>
      </c>
      <c r="H17" s="103">
        <v>0</v>
      </c>
      <c r="I17" s="103">
        <v>250000000</v>
      </c>
      <c r="J17" s="103">
        <v>0</v>
      </c>
      <c r="K17" s="103">
        <v>0</v>
      </c>
      <c r="L17" s="103">
        <v>0</v>
      </c>
      <c r="M17" s="104">
        <f t="shared" si="2"/>
        <v>189767735</v>
      </c>
      <c r="N17" s="103">
        <v>0</v>
      </c>
      <c r="O17" s="103">
        <v>0</v>
      </c>
      <c r="P17" s="103">
        <v>0</v>
      </c>
      <c r="Q17" s="103">
        <v>0</v>
      </c>
      <c r="R17" s="103">
        <v>189767735</v>
      </c>
      <c r="S17" s="103">
        <v>0</v>
      </c>
      <c r="T17" s="103">
        <v>0</v>
      </c>
      <c r="U17" s="103">
        <v>0</v>
      </c>
      <c r="V17" s="168" t="s">
        <v>1241</v>
      </c>
    </row>
    <row r="18" spans="1:22" ht="20.25">
      <c r="A18" s="91"/>
      <c r="B18" s="91" t="s">
        <v>668</v>
      </c>
      <c r="C18" s="109" t="s">
        <v>669</v>
      </c>
      <c r="D18" s="104">
        <f t="shared" si="0"/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4">
        <f t="shared" si="2"/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68" t="s">
        <v>1242</v>
      </c>
    </row>
    <row r="19" spans="1:22" ht="20.25">
      <c r="A19" s="91"/>
      <c r="B19" s="91" t="s">
        <v>670</v>
      </c>
      <c r="C19" s="109" t="s">
        <v>671</v>
      </c>
      <c r="D19" s="104">
        <f t="shared" si="0"/>
        <v>2500000</v>
      </c>
      <c r="E19" s="103">
        <v>0</v>
      </c>
      <c r="F19" s="103">
        <v>0</v>
      </c>
      <c r="G19" s="103">
        <v>0</v>
      </c>
      <c r="H19" s="103">
        <v>0</v>
      </c>
      <c r="I19" s="103">
        <v>2500000</v>
      </c>
      <c r="J19" s="103">
        <v>0</v>
      </c>
      <c r="K19" s="103">
        <v>0</v>
      </c>
      <c r="L19" s="103">
        <v>0</v>
      </c>
      <c r="M19" s="104">
        <f t="shared" si="2"/>
        <v>2500000</v>
      </c>
      <c r="N19" s="103">
        <v>0</v>
      </c>
      <c r="O19" s="103">
        <v>0</v>
      </c>
      <c r="P19" s="103">
        <v>0</v>
      </c>
      <c r="Q19" s="103">
        <v>0</v>
      </c>
      <c r="R19" s="103">
        <v>2500000</v>
      </c>
      <c r="S19" s="103">
        <v>0</v>
      </c>
      <c r="T19" s="103">
        <v>0</v>
      </c>
      <c r="U19" s="103">
        <v>0</v>
      </c>
      <c r="V19" s="168" t="s">
        <v>1243</v>
      </c>
    </row>
    <row r="20" spans="1:22" ht="20.25">
      <c r="A20" s="91"/>
      <c r="B20" s="91" t="s">
        <v>672</v>
      </c>
      <c r="C20" s="109" t="s">
        <v>673</v>
      </c>
      <c r="D20" s="104">
        <f t="shared" si="0"/>
        <v>3800000</v>
      </c>
      <c r="E20" s="103">
        <v>0</v>
      </c>
      <c r="F20" s="103">
        <v>0</v>
      </c>
      <c r="G20" s="103">
        <v>0</v>
      </c>
      <c r="H20" s="103">
        <v>0</v>
      </c>
      <c r="I20" s="103">
        <v>3800000</v>
      </c>
      <c r="J20" s="103">
        <v>0</v>
      </c>
      <c r="K20" s="103">
        <v>0</v>
      </c>
      <c r="L20" s="103">
        <v>0</v>
      </c>
      <c r="M20" s="104">
        <f t="shared" si="2"/>
        <v>3800000</v>
      </c>
      <c r="N20" s="103">
        <v>0</v>
      </c>
      <c r="O20" s="103">
        <v>0</v>
      </c>
      <c r="P20" s="103">
        <v>0</v>
      </c>
      <c r="Q20" s="103">
        <v>0</v>
      </c>
      <c r="R20" s="103">
        <v>3800000</v>
      </c>
      <c r="S20" s="103">
        <v>0</v>
      </c>
      <c r="T20" s="103">
        <v>0</v>
      </c>
      <c r="U20" s="103"/>
      <c r="V20" s="168" t="s">
        <v>1244</v>
      </c>
    </row>
    <row r="21" spans="1:22" ht="20.25">
      <c r="A21" s="91"/>
      <c r="B21" s="91" t="s">
        <v>970</v>
      </c>
      <c r="C21" s="109" t="s">
        <v>993</v>
      </c>
      <c r="D21" s="104">
        <f>SUM(E21:L21)</f>
        <v>7000000</v>
      </c>
      <c r="E21" s="103">
        <v>0</v>
      </c>
      <c r="F21" s="103">
        <v>0</v>
      </c>
      <c r="G21" s="103">
        <v>0</v>
      </c>
      <c r="H21" s="103">
        <v>0</v>
      </c>
      <c r="I21" s="103">
        <v>7000000</v>
      </c>
      <c r="J21" s="103">
        <v>0</v>
      </c>
      <c r="K21" s="103">
        <v>0</v>
      </c>
      <c r="L21" s="103">
        <v>0</v>
      </c>
      <c r="M21" s="104">
        <f t="shared" si="2"/>
        <v>7000000</v>
      </c>
      <c r="N21" s="103">
        <v>0</v>
      </c>
      <c r="O21" s="103">
        <v>0</v>
      </c>
      <c r="P21" s="103">
        <v>0</v>
      </c>
      <c r="Q21" s="103">
        <v>0</v>
      </c>
      <c r="R21" s="103">
        <v>7000000</v>
      </c>
      <c r="S21" s="103">
        <v>0</v>
      </c>
      <c r="T21" s="103">
        <v>0</v>
      </c>
      <c r="U21" s="103">
        <v>0</v>
      </c>
      <c r="V21" s="167">
        <v>59011</v>
      </c>
    </row>
    <row r="22" spans="1:22" ht="75">
      <c r="A22" s="91"/>
      <c r="B22" s="91" t="s">
        <v>1307</v>
      </c>
      <c r="C22" s="108" t="s">
        <v>1365</v>
      </c>
      <c r="D22" s="104">
        <f>SUM(E22:L22)</f>
        <v>150000000</v>
      </c>
      <c r="E22" s="103">
        <v>0</v>
      </c>
      <c r="F22" s="103">
        <v>0</v>
      </c>
      <c r="G22" s="103">
        <v>0</v>
      </c>
      <c r="H22" s="103">
        <v>0</v>
      </c>
      <c r="I22" s="103">
        <v>150000000</v>
      </c>
      <c r="J22" s="103">
        <v>0</v>
      </c>
      <c r="K22" s="103">
        <v>0</v>
      </c>
      <c r="L22" s="103">
        <v>0</v>
      </c>
      <c r="M22" s="104">
        <f t="shared" si="2"/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67">
        <v>59012</v>
      </c>
    </row>
    <row r="23" spans="1:22" ht="20.25">
      <c r="A23" s="91" t="s">
        <v>172</v>
      </c>
      <c r="B23" s="91"/>
      <c r="C23" s="92" t="s">
        <v>41</v>
      </c>
      <c r="D23" s="106">
        <f t="shared" si="0"/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6">
        <f t="shared" si="2"/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73"/>
    </row>
    <row r="24" spans="1:22" ht="20.25">
      <c r="A24" s="91" t="s">
        <v>173</v>
      </c>
      <c r="B24" s="91"/>
      <c r="C24" s="92" t="s">
        <v>43</v>
      </c>
      <c r="D24" s="106">
        <f t="shared" si="0"/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6">
        <v>0</v>
      </c>
      <c r="M24" s="106">
        <f t="shared" si="2"/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0</v>
      </c>
      <c r="U24" s="106">
        <v>0</v>
      </c>
      <c r="V24" s="173"/>
    </row>
    <row r="25" spans="1:22" ht="30.75" customHeight="1">
      <c r="A25" s="467" t="s">
        <v>286</v>
      </c>
      <c r="B25" s="467"/>
      <c r="C25" s="467"/>
      <c r="D25" s="106">
        <f t="shared" si="0"/>
        <v>512668480</v>
      </c>
      <c r="E25" s="107">
        <f aca="true" t="shared" si="3" ref="E25:L25">E10+E23+E24</f>
        <v>0</v>
      </c>
      <c r="F25" s="107">
        <f t="shared" si="3"/>
        <v>0</v>
      </c>
      <c r="G25" s="107">
        <f t="shared" si="3"/>
        <v>0</v>
      </c>
      <c r="H25" s="107">
        <f t="shared" si="3"/>
        <v>0</v>
      </c>
      <c r="I25" s="107">
        <f>I10+I23+I24</f>
        <v>512668480</v>
      </c>
      <c r="J25" s="107">
        <f t="shared" si="3"/>
        <v>0</v>
      </c>
      <c r="K25" s="107">
        <f t="shared" si="3"/>
        <v>0</v>
      </c>
      <c r="L25" s="107">
        <f t="shared" si="3"/>
        <v>0</v>
      </c>
      <c r="M25" s="106">
        <f t="shared" si="2"/>
        <v>267576174</v>
      </c>
      <c r="N25" s="107">
        <f aca="true" t="shared" si="4" ref="N25:U25">N10+N23+N24</f>
        <v>0</v>
      </c>
      <c r="O25" s="107">
        <f t="shared" si="4"/>
        <v>0</v>
      </c>
      <c r="P25" s="107">
        <f t="shared" si="4"/>
        <v>0</v>
      </c>
      <c r="Q25" s="107">
        <f t="shared" si="4"/>
        <v>0</v>
      </c>
      <c r="R25" s="107">
        <f t="shared" si="4"/>
        <v>267576174</v>
      </c>
      <c r="S25" s="107">
        <f t="shared" si="4"/>
        <v>0</v>
      </c>
      <c r="T25" s="107">
        <f t="shared" si="4"/>
        <v>0</v>
      </c>
      <c r="U25" s="107">
        <f t="shared" si="4"/>
        <v>0</v>
      </c>
      <c r="V25" s="173"/>
    </row>
    <row r="27" ht="12" customHeight="1"/>
    <row r="30" spans="9:18" ht="18">
      <c r="I30" s="215"/>
      <c r="R30" s="215"/>
    </row>
    <row r="31" spans="9:18" ht="18">
      <c r="I31" s="213"/>
      <c r="R31" s="213"/>
    </row>
  </sheetData>
  <sheetProtection selectLockedCells="1" selectUnlockedCells="1"/>
  <mergeCells count="17">
    <mergeCell ref="N8:R8"/>
    <mergeCell ref="A25:C25"/>
    <mergeCell ref="A7:A9"/>
    <mergeCell ref="B7:B9"/>
    <mergeCell ref="C7:C9"/>
    <mergeCell ref="D7:D9"/>
    <mergeCell ref="E7:L7"/>
    <mergeCell ref="A1:V1"/>
    <mergeCell ref="A3:V3"/>
    <mergeCell ref="A4:V4"/>
    <mergeCell ref="M7:M9"/>
    <mergeCell ref="E8:I8"/>
    <mergeCell ref="J8:L8"/>
    <mergeCell ref="V7:V10"/>
    <mergeCell ref="N7:U7"/>
    <mergeCell ref="S8:U8"/>
    <mergeCell ref="A2:V2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Y22"/>
  <sheetViews>
    <sheetView view="pageBreakPreview" zoomScale="74" zoomScaleNormal="74" zoomScaleSheetLayoutView="74" zoomScalePageLayoutView="0" workbookViewId="0" topLeftCell="A1">
      <selection activeCell="Q1" sqref="Q1"/>
    </sheetView>
  </sheetViews>
  <sheetFormatPr defaultColWidth="9.140625" defaultRowHeight="12.75" customHeight="1"/>
  <cols>
    <col min="1" max="1" width="16.00390625" style="31" customWidth="1"/>
    <col min="2" max="2" width="20.140625" style="32" customWidth="1"/>
    <col min="3" max="3" width="12.421875" style="32" customWidth="1"/>
    <col min="4" max="4" width="4.7109375" style="32" customWidth="1"/>
    <col min="5" max="5" width="18.28125" style="32" customWidth="1"/>
    <col min="6" max="6" width="16.7109375" style="32" bestFit="1" customWidth="1"/>
    <col min="7" max="7" width="18.00390625" style="32" customWidth="1"/>
    <col min="8" max="8" width="17.57421875" style="32" customWidth="1"/>
    <col min="9" max="9" width="14.57421875" style="32" bestFit="1" customWidth="1"/>
    <col min="10" max="10" width="20.7109375" style="32" customWidth="1"/>
    <col min="11" max="11" width="16.8515625" style="32" customWidth="1"/>
    <col min="12" max="12" width="14.57421875" style="32" bestFit="1" customWidth="1"/>
    <col min="13" max="13" width="16.7109375" style="32" bestFit="1" customWidth="1"/>
    <col min="14" max="14" width="17.28125" style="32" customWidth="1"/>
    <col min="15" max="15" width="14.57421875" style="32" bestFit="1" customWidth="1"/>
    <col min="16" max="16" width="20.8515625" style="32" customWidth="1"/>
    <col min="17" max="18" width="14.57421875" style="32" bestFit="1" customWidth="1"/>
    <col min="19" max="19" width="16.7109375" style="32" bestFit="1" customWidth="1"/>
    <col min="20" max="21" width="14.57421875" style="32" bestFit="1" customWidth="1"/>
    <col min="22" max="22" width="16.7109375" style="32" bestFit="1" customWidth="1"/>
    <col min="23" max="23" width="14.57421875" style="32" bestFit="1" customWidth="1"/>
    <col min="24" max="24" width="14.00390625" style="32" customWidth="1"/>
    <col min="25" max="25" width="16.7109375" style="32" bestFit="1" customWidth="1"/>
    <col min="26" max="26" width="14.57421875" style="32" bestFit="1" customWidth="1"/>
    <col min="27" max="27" width="14.00390625" style="32" customWidth="1"/>
    <col min="28" max="28" width="16.7109375" style="32" bestFit="1" customWidth="1"/>
    <col min="29" max="29" width="14.57421875" style="32" bestFit="1" customWidth="1"/>
    <col min="30" max="30" width="14.00390625" style="32" customWidth="1"/>
    <col min="31" max="31" width="16.7109375" style="32" bestFit="1" customWidth="1"/>
    <col min="32" max="32" width="14.57421875" style="32" bestFit="1" customWidth="1"/>
    <col min="33" max="33" width="14.00390625" style="32" customWidth="1"/>
    <col min="34" max="35" width="14.57421875" style="32" bestFit="1" customWidth="1"/>
    <col min="36" max="36" width="14.00390625" style="32" customWidth="1"/>
    <col min="37" max="37" width="14.57421875" style="32" bestFit="1" customWidth="1"/>
    <col min="38" max="208" width="9.140625" style="32" customWidth="1"/>
  </cols>
  <sheetData>
    <row r="1" spans="2:37" ht="30" customHeight="1"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 t="s">
        <v>813</v>
      </c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 t="s">
        <v>1465</v>
      </c>
    </row>
    <row r="2" spans="1:37" ht="32.25" customHeight="1">
      <c r="A2" s="452" t="s">
        <v>177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</row>
    <row r="3" spans="1:207" ht="29.25" customHeight="1">
      <c r="A3" s="451" t="s">
        <v>196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U3" s="34"/>
      <c r="GV3" s="34"/>
      <c r="GW3" s="34"/>
      <c r="GX3" s="34"/>
      <c r="GY3" s="34"/>
    </row>
    <row r="4" spans="1:207" ht="15.75" customHeight="1">
      <c r="A4" s="35"/>
      <c r="B4" s="35"/>
      <c r="C4" s="35"/>
      <c r="D4" s="35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U4" s="34"/>
      <c r="GV4" s="34"/>
      <c r="GW4" s="34"/>
      <c r="GX4" s="34"/>
      <c r="GY4" s="34"/>
    </row>
    <row r="5" spans="10:37" s="34" customFormat="1" ht="13.5" customHeight="1">
      <c r="J5" s="36"/>
      <c r="K5" s="36"/>
      <c r="L5" s="36"/>
      <c r="M5" s="36"/>
      <c r="N5" s="36"/>
      <c r="O5" s="36"/>
      <c r="P5" s="36"/>
      <c r="Q5" s="36"/>
      <c r="R5" s="36"/>
      <c r="S5" s="18"/>
      <c r="V5" s="34" t="s">
        <v>0</v>
      </c>
      <c r="AE5" s="18"/>
      <c r="AK5" s="34" t="s">
        <v>0</v>
      </c>
    </row>
    <row r="6" spans="1:37" s="34" customFormat="1" ht="15.75" customHeight="1">
      <c r="A6" s="37" t="s">
        <v>1</v>
      </c>
      <c r="B6" s="37" t="s">
        <v>2</v>
      </c>
      <c r="C6" s="37" t="s">
        <v>3</v>
      </c>
      <c r="D6" s="162" t="s">
        <v>4</v>
      </c>
      <c r="E6" s="163" t="s">
        <v>5</v>
      </c>
      <c r="F6" s="37" t="s">
        <v>6</v>
      </c>
      <c r="G6" s="37" t="s">
        <v>7</v>
      </c>
      <c r="H6" s="37" t="s">
        <v>8</v>
      </c>
      <c r="I6" s="37" t="s">
        <v>9</v>
      </c>
      <c r="J6" s="37" t="s">
        <v>10</v>
      </c>
      <c r="K6" s="37" t="s">
        <v>11</v>
      </c>
      <c r="L6" s="37" t="s">
        <v>12</v>
      </c>
      <c r="M6" s="37" t="s">
        <v>13</v>
      </c>
      <c r="N6" s="37" t="s">
        <v>14</v>
      </c>
      <c r="O6" s="37" t="s">
        <v>15</v>
      </c>
      <c r="P6" s="37" t="s">
        <v>16</v>
      </c>
      <c r="Q6" s="37" t="s">
        <v>17</v>
      </c>
      <c r="R6" s="37" t="s">
        <v>18</v>
      </c>
      <c r="S6" s="37" t="s">
        <v>19</v>
      </c>
      <c r="T6" s="37" t="s">
        <v>20</v>
      </c>
      <c r="U6" s="37" t="s">
        <v>21</v>
      </c>
      <c r="V6" s="37" t="s">
        <v>179</v>
      </c>
      <c r="W6" s="37" t="s">
        <v>180</v>
      </c>
      <c r="X6" s="37" t="s">
        <v>181</v>
      </c>
      <c r="Y6" s="37" t="s">
        <v>182</v>
      </c>
      <c r="Z6" s="37" t="s">
        <v>197</v>
      </c>
      <c r="AA6" s="37" t="s">
        <v>198</v>
      </c>
      <c r="AB6" s="37" t="s">
        <v>199</v>
      </c>
      <c r="AC6" s="37" t="s">
        <v>200</v>
      </c>
      <c r="AD6" s="37" t="s">
        <v>201</v>
      </c>
      <c r="AE6" s="37" t="s">
        <v>202</v>
      </c>
      <c r="AF6" s="37" t="s">
        <v>203</v>
      </c>
      <c r="AG6" s="37" t="s">
        <v>204</v>
      </c>
      <c r="AH6" s="37" t="s">
        <v>205</v>
      </c>
      <c r="AI6" s="37" t="s">
        <v>206</v>
      </c>
      <c r="AJ6" s="37" t="s">
        <v>207</v>
      </c>
      <c r="AK6" s="37" t="s">
        <v>208</v>
      </c>
    </row>
    <row r="7" spans="1:37" ht="105.75" customHeight="1">
      <c r="A7" s="442" t="s">
        <v>949</v>
      </c>
      <c r="B7" s="443"/>
      <c r="C7" s="448" t="s">
        <v>185</v>
      </c>
      <c r="D7" s="448" t="s">
        <v>187</v>
      </c>
      <c r="E7" s="446">
        <v>2020</v>
      </c>
      <c r="F7" s="446"/>
      <c r="G7" s="446"/>
      <c r="H7" s="446">
        <v>2021</v>
      </c>
      <c r="I7" s="446"/>
      <c r="J7" s="446"/>
      <c r="K7" s="446">
        <v>2022</v>
      </c>
      <c r="L7" s="446"/>
      <c r="M7" s="446"/>
      <c r="N7" s="446">
        <v>2023</v>
      </c>
      <c r="O7" s="446"/>
      <c r="P7" s="446"/>
      <c r="Q7" s="446">
        <v>2024</v>
      </c>
      <c r="R7" s="446"/>
      <c r="S7" s="446"/>
      <c r="T7" s="446">
        <v>2025</v>
      </c>
      <c r="U7" s="446"/>
      <c r="V7" s="446"/>
      <c r="W7" s="446">
        <v>2026</v>
      </c>
      <c r="X7" s="446"/>
      <c r="Y7" s="446"/>
      <c r="Z7" s="446">
        <v>2027</v>
      </c>
      <c r="AA7" s="446"/>
      <c r="AB7" s="446"/>
      <c r="AC7" s="446">
        <v>2028</v>
      </c>
      <c r="AD7" s="446"/>
      <c r="AE7" s="446"/>
      <c r="AF7" s="446">
        <v>2029</v>
      </c>
      <c r="AG7" s="446"/>
      <c r="AH7" s="446"/>
      <c r="AI7" s="446">
        <v>2030</v>
      </c>
      <c r="AJ7" s="446"/>
      <c r="AK7" s="446"/>
    </row>
    <row r="8" spans="1:37" ht="23.25" customHeight="1">
      <c r="A8" s="444"/>
      <c r="B8" s="445"/>
      <c r="C8" s="449"/>
      <c r="D8" s="449"/>
      <c r="E8" s="303" t="s">
        <v>209</v>
      </c>
      <c r="F8" s="303" t="s">
        <v>210</v>
      </c>
      <c r="G8" s="303" t="s">
        <v>211</v>
      </c>
      <c r="H8" s="303" t="s">
        <v>209</v>
      </c>
      <c r="I8" s="303" t="s">
        <v>210</v>
      </c>
      <c r="J8" s="303" t="s">
        <v>211</v>
      </c>
      <c r="K8" s="303" t="s">
        <v>209</v>
      </c>
      <c r="L8" s="303" t="s">
        <v>210</v>
      </c>
      <c r="M8" s="303" t="s">
        <v>211</v>
      </c>
      <c r="N8" s="303" t="s">
        <v>209</v>
      </c>
      <c r="O8" s="303" t="s">
        <v>210</v>
      </c>
      <c r="P8" s="303" t="s">
        <v>211</v>
      </c>
      <c r="Q8" s="303" t="s">
        <v>209</v>
      </c>
      <c r="R8" s="303" t="s">
        <v>210</v>
      </c>
      <c r="S8" s="303" t="s">
        <v>211</v>
      </c>
      <c r="T8" s="303" t="s">
        <v>209</v>
      </c>
      <c r="U8" s="303" t="s">
        <v>210</v>
      </c>
      <c r="V8" s="303" t="s">
        <v>211</v>
      </c>
      <c r="W8" s="303" t="s">
        <v>209</v>
      </c>
      <c r="X8" s="303" t="s">
        <v>210</v>
      </c>
      <c r="Y8" s="303" t="s">
        <v>211</v>
      </c>
      <c r="Z8" s="303" t="s">
        <v>209</v>
      </c>
      <c r="AA8" s="303" t="s">
        <v>210</v>
      </c>
      <c r="AB8" s="303" t="s">
        <v>211</v>
      </c>
      <c r="AC8" s="303" t="s">
        <v>209</v>
      </c>
      <c r="AD8" s="303" t="s">
        <v>210</v>
      </c>
      <c r="AE8" s="303" t="s">
        <v>211</v>
      </c>
      <c r="AF8" s="303" t="s">
        <v>209</v>
      </c>
      <c r="AG8" s="303" t="s">
        <v>210</v>
      </c>
      <c r="AH8" s="303" t="s">
        <v>211</v>
      </c>
      <c r="AI8" s="303" t="s">
        <v>209</v>
      </c>
      <c r="AJ8" s="303" t="s">
        <v>210</v>
      </c>
      <c r="AK8" s="303" t="s">
        <v>211</v>
      </c>
    </row>
    <row r="9" spans="1:37" s="33" customFormat="1" ht="29.25" customHeight="1">
      <c r="A9" s="450" t="s">
        <v>212</v>
      </c>
      <c r="B9" s="450"/>
      <c r="C9" s="450"/>
      <c r="D9" s="304"/>
      <c r="E9" s="305">
        <f>SUM(E10:E15)</f>
        <v>30166207203</v>
      </c>
      <c r="F9" s="305">
        <f aca="true" t="shared" si="0" ref="F9:AK9">SUM(F10:F15)</f>
        <v>2394873990</v>
      </c>
      <c r="G9" s="305">
        <f t="shared" si="0"/>
        <v>32561081193</v>
      </c>
      <c r="H9" s="305">
        <f t="shared" si="0"/>
        <v>710000000</v>
      </c>
      <c r="I9" s="305">
        <f t="shared" si="0"/>
        <v>243290000</v>
      </c>
      <c r="J9" s="305">
        <f t="shared" si="0"/>
        <v>953290000</v>
      </c>
      <c r="K9" s="305">
        <f t="shared" si="0"/>
        <v>986000000</v>
      </c>
      <c r="L9" s="305">
        <f t="shared" si="0"/>
        <v>226826875</v>
      </c>
      <c r="M9" s="305">
        <f t="shared" si="0"/>
        <v>1212826875</v>
      </c>
      <c r="N9" s="305">
        <f t="shared" si="0"/>
        <v>4650792797</v>
      </c>
      <c r="O9" s="305">
        <f t="shared" si="0"/>
        <v>204718750</v>
      </c>
      <c r="P9" s="305">
        <f t="shared" si="0"/>
        <v>4855511547</v>
      </c>
      <c r="Q9" s="305">
        <f t="shared" si="0"/>
        <v>986000000</v>
      </c>
      <c r="R9" s="305">
        <f t="shared" si="0"/>
        <v>139995000</v>
      </c>
      <c r="S9" s="305">
        <f t="shared" si="0"/>
        <v>1125995000</v>
      </c>
      <c r="T9" s="305">
        <f t="shared" si="0"/>
        <v>986000000</v>
      </c>
      <c r="U9" s="305">
        <f t="shared" si="0"/>
        <v>117514219</v>
      </c>
      <c r="V9" s="305">
        <f t="shared" si="0"/>
        <v>1103514219</v>
      </c>
      <c r="W9" s="305">
        <f t="shared" si="0"/>
        <v>986000000</v>
      </c>
      <c r="X9" s="305">
        <f t="shared" si="0"/>
        <v>96897500</v>
      </c>
      <c r="Y9" s="305">
        <f t="shared" si="0"/>
        <v>1082897500</v>
      </c>
      <c r="Z9" s="305">
        <f t="shared" si="0"/>
        <v>986000000</v>
      </c>
      <c r="AA9" s="305">
        <f t="shared" si="0"/>
        <v>74666250</v>
      </c>
      <c r="AB9" s="305">
        <f t="shared" si="0"/>
        <v>1060666250</v>
      </c>
      <c r="AC9" s="305">
        <f t="shared" si="0"/>
        <v>986000000</v>
      </c>
      <c r="AD9" s="305">
        <f t="shared" si="0"/>
        <v>52600000</v>
      </c>
      <c r="AE9" s="305">
        <f t="shared" si="0"/>
        <v>1038600000</v>
      </c>
      <c r="AF9" s="305">
        <f t="shared" si="0"/>
        <v>686000000</v>
      </c>
      <c r="AG9" s="305">
        <f t="shared" si="0"/>
        <v>32510000</v>
      </c>
      <c r="AH9" s="305">
        <f t="shared" si="0"/>
        <v>718510000</v>
      </c>
      <c r="AI9" s="305">
        <f t="shared" si="0"/>
        <v>662000000</v>
      </c>
      <c r="AJ9" s="305">
        <f t="shared" si="0"/>
        <v>14381875</v>
      </c>
      <c r="AK9" s="305">
        <f t="shared" si="0"/>
        <v>676381875</v>
      </c>
    </row>
    <row r="10" spans="1:37" s="34" customFormat="1" ht="36.75" customHeight="1">
      <c r="A10" s="447" t="s">
        <v>213</v>
      </c>
      <c r="B10" s="447"/>
      <c r="C10" s="306" t="s">
        <v>214</v>
      </c>
      <c r="D10" s="307" t="s">
        <v>191</v>
      </c>
      <c r="E10" s="308">
        <v>280000000</v>
      </c>
      <c r="F10" s="308">
        <v>8000000</v>
      </c>
      <c r="G10" s="309">
        <f aca="true" t="shared" si="1" ref="G10:G17">SUM(E10:F10)</f>
        <v>288000000</v>
      </c>
      <c r="H10" s="308">
        <v>160000000</v>
      </c>
      <c r="I10" s="308">
        <v>2000000</v>
      </c>
      <c r="J10" s="309">
        <f aca="true" t="shared" si="2" ref="J10:J17">SUM(H10:I10)</f>
        <v>162000000</v>
      </c>
      <c r="K10" s="308">
        <v>0</v>
      </c>
      <c r="L10" s="308">
        <v>0</v>
      </c>
      <c r="M10" s="309">
        <v>0</v>
      </c>
      <c r="N10" s="308">
        <v>0</v>
      </c>
      <c r="O10" s="308">
        <v>0</v>
      </c>
      <c r="P10" s="309">
        <v>0</v>
      </c>
      <c r="Q10" s="308">
        <v>0</v>
      </c>
      <c r="R10" s="308">
        <v>0</v>
      </c>
      <c r="S10" s="309">
        <v>0</v>
      </c>
      <c r="T10" s="308">
        <v>0</v>
      </c>
      <c r="U10" s="308">
        <v>0</v>
      </c>
      <c r="V10" s="309">
        <v>0</v>
      </c>
      <c r="W10" s="308">
        <v>0</v>
      </c>
      <c r="X10" s="308">
        <v>0</v>
      </c>
      <c r="Y10" s="309">
        <v>0</v>
      </c>
      <c r="Z10" s="308">
        <v>0</v>
      </c>
      <c r="AA10" s="308">
        <v>0</v>
      </c>
      <c r="AB10" s="309">
        <v>0</v>
      </c>
      <c r="AC10" s="308">
        <v>0</v>
      </c>
      <c r="AD10" s="308">
        <v>0</v>
      </c>
      <c r="AE10" s="309">
        <v>0</v>
      </c>
      <c r="AF10" s="308">
        <v>0</v>
      </c>
      <c r="AG10" s="308">
        <v>0</v>
      </c>
      <c r="AH10" s="309">
        <f aca="true" t="shared" si="3" ref="AH10:AH17">SUM(AF10:AG10)</f>
        <v>0</v>
      </c>
      <c r="AI10" s="308">
        <v>0</v>
      </c>
      <c r="AJ10" s="308">
        <v>0</v>
      </c>
      <c r="AK10" s="309">
        <v>0</v>
      </c>
    </row>
    <row r="11" spans="1:37" s="34" customFormat="1" ht="36.75" customHeight="1">
      <c r="A11" s="447" t="s">
        <v>703</v>
      </c>
      <c r="B11" s="447"/>
      <c r="C11" s="306" t="s">
        <v>215</v>
      </c>
      <c r="D11" s="307" t="s">
        <v>191</v>
      </c>
      <c r="E11" s="308">
        <v>300000000</v>
      </c>
      <c r="F11" s="308">
        <v>33000000</v>
      </c>
      <c r="G11" s="309">
        <f t="shared" si="1"/>
        <v>333000000</v>
      </c>
      <c r="H11" s="308">
        <v>300000000</v>
      </c>
      <c r="I11" s="308">
        <v>28000000</v>
      </c>
      <c r="J11" s="309">
        <f t="shared" si="2"/>
        <v>328000000</v>
      </c>
      <c r="K11" s="308">
        <v>300000000</v>
      </c>
      <c r="L11" s="308">
        <v>25000000</v>
      </c>
      <c r="M11" s="309">
        <f aca="true" t="shared" si="4" ref="M11:M17">SUM(K11:L11)</f>
        <v>325000000</v>
      </c>
      <c r="N11" s="308">
        <v>300000000</v>
      </c>
      <c r="O11" s="308">
        <v>21000000</v>
      </c>
      <c r="P11" s="309">
        <f aca="true" t="shared" si="5" ref="P11:P17">SUM(N11:O11)</f>
        <v>321000000</v>
      </c>
      <c r="Q11" s="308">
        <v>300000000</v>
      </c>
      <c r="R11" s="308">
        <v>17000000</v>
      </c>
      <c r="S11" s="309">
        <f aca="true" t="shared" si="6" ref="S11:S17">SUM(Q11:R11)</f>
        <v>317000000</v>
      </c>
      <c r="T11" s="308">
        <v>300000000</v>
      </c>
      <c r="U11" s="308">
        <v>13000000</v>
      </c>
      <c r="V11" s="309">
        <f aca="true" t="shared" si="7" ref="V11:V17">SUM(T11:U11)</f>
        <v>313000000</v>
      </c>
      <c r="W11" s="308">
        <v>300000000</v>
      </c>
      <c r="X11" s="308">
        <v>10000000</v>
      </c>
      <c r="Y11" s="309">
        <f aca="true" t="shared" si="8" ref="Y11:Y17">SUM(W11:X11)</f>
        <v>310000000</v>
      </c>
      <c r="Z11" s="308">
        <v>300000000</v>
      </c>
      <c r="AA11" s="308">
        <v>6000000</v>
      </c>
      <c r="AB11" s="309">
        <f aca="true" t="shared" si="9" ref="AB11:AB17">SUM(Z11:AA11)</f>
        <v>306000000</v>
      </c>
      <c r="AC11" s="308">
        <v>300000000</v>
      </c>
      <c r="AD11" s="308">
        <v>2000000</v>
      </c>
      <c r="AE11" s="309">
        <f aca="true" t="shared" si="10" ref="AE11:AE17">SUM(AC11:AD11)</f>
        <v>302000000</v>
      </c>
      <c r="AF11" s="308">
        <v>0</v>
      </c>
      <c r="AG11" s="308">
        <v>0</v>
      </c>
      <c r="AH11" s="309">
        <f t="shared" si="3"/>
        <v>0</v>
      </c>
      <c r="AI11" s="308">
        <v>0</v>
      </c>
      <c r="AJ11" s="308">
        <v>0</v>
      </c>
      <c r="AK11" s="309">
        <f aca="true" t="shared" si="11" ref="AK11:AK17">SUM(AI11:AJ11)</f>
        <v>0</v>
      </c>
    </row>
    <row r="12" spans="1:37" s="34" customFormat="1" ht="36.75" customHeight="1">
      <c r="A12" s="447" t="s">
        <v>950</v>
      </c>
      <c r="B12" s="447"/>
      <c r="C12" s="306" t="s">
        <v>798</v>
      </c>
      <c r="D12" s="307" t="s">
        <v>191</v>
      </c>
      <c r="E12" s="308">
        <v>0</v>
      </c>
      <c r="F12" s="308">
        <v>75487500</v>
      </c>
      <c r="G12" s="309">
        <f t="shared" si="1"/>
        <v>75487500</v>
      </c>
      <c r="H12" s="308">
        <v>250000000</v>
      </c>
      <c r="I12" s="308">
        <v>72435000</v>
      </c>
      <c r="J12" s="309">
        <f t="shared" si="2"/>
        <v>322435000</v>
      </c>
      <c r="K12" s="308">
        <v>250000000</v>
      </c>
      <c r="L12" s="308">
        <v>64906875</v>
      </c>
      <c r="M12" s="309">
        <f t="shared" si="4"/>
        <v>314906875</v>
      </c>
      <c r="N12" s="308">
        <v>250000000</v>
      </c>
      <c r="O12" s="308">
        <v>57378750</v>
      </c>
      <c r="P12" s="309">
        <f t="shared" si="5"/>
        <v>307378750</v>
      </c>
      <c r="Q12" s="308">
        <v>250000000</v>
      </c>
      <c r="R12" s="308">
        <v>49995000</v>
      </c>
      <c r="S12" s="309">
        <f t="shared" si="6"/>
        <v>299995000</v>
      </c>
      <c r="T12" s="308">
        <v>250000000</v>
      </c>
      <c r="U12" s="308">
        <v>42214219</v>
      </c>
      <c r="V12" s="309">
        <f t="shared" si="7"/>
        <v>292214219</v>
      </c>
      <c r="W12" s="308">
        <v>250000000</v>
      </c>
      <c r="X12" s="308">
        <v>34897500</v>
      </c>
      <c r="Y12" s="309">
        <f t="shared" si="8"/>
        <v>284897500</v>
      </c>
      <c r="Z12" s="308">
        <v>250000000</v>
      </c>
      <c r="AA12" s="308">
        <v>27266250</v>
      </c>
      <c r="AB12" s="309">
        <f t="shared" si="9"/>
        <v>277266250</v>
      </c>
      <c r="AC12" s="308">
        <v>250000000</v>
      </c>
      <c r="AD12" s="308">
        <v>19800000</v>
      </c>
      <c r="AE12" s="309">
        <f t="shared" si="10"/>
        <v>269800000</v>
      </c>
      <c r="AF12" s="308">
        <v>250000000</v>
      </c>
      <c r="AG12" s="308">
        <v>12210000</v>
      </c>
      <c r="AH12" s="309">
        <f t="shared" si="3"/>
        <v>262210000</v>
      </c>
      <c r="AI12" s="308">
        <v>250000000</v>
      </c>
      <c r="AJ12" s="308">
        <v>4681875</v>
      </c>
      <c r="AK12" s="309">
        <f t="shared" si="11"/>
        <v>254681875</v>
      </c>
    </row>
    <row r="13" spans="1:37" s="34" customFormat="1" ht="36.75" customHeight="1">
      <c r="A13" s="447" t="s">
        <v>1502</v>
      </c>
      <c r="B13" s="447"/>
      <c r="C13" s="306" t="s">
        <v>798</v>
      </c>
      <c r="D13" s="307" t="s">
        <v>191</v>
      </c>
      <c r="E13" s="308">
        <v>29586207203</v>
      </c>
      <c r="F13" s="308">
        <v>2260556339</v>
      </c>
      <c r="G13" s="309">
        <f t="shared" si="1"/>
        <v>31846763542</v>
      </c>
      <c r="H13" s="308">
        <v>0</v>
      </c>
      <c r="I13" s="308">
        <v>43000000</v>
      </c>
      <c r="J13" s="309">
        <f t="shared" si="2"/>
        <v>43000000</v>
      </c>
      <c r="K13" s="308">
        <v>0</v>
      </c>
      <c r="L13" s="308">
        <v>43000000</v>
      </c>
      <c r="M13" s="309">
        <f t="shared" si="4"/>
        <v>43000000</v>
      </c>
      <c r="N13" s="308">
        <v>3664792797</v>
      </c>
      <c r="O13" s="308">
        <v>43000000</v>
      </c>
      <c r="P13" s="309">
        <f t="shared" si="5"/>
        <v>3707792797</v>
      </c>
      <c r="Q13" s="308">
        <v>0</v>
      </c>
      <c r="R13" s="308">
        <v>0</v>
      </c>
      <c r="S13" s="309">
        <f t="shared" si="6"/>
        <v>0</v>
      </c>
      <c r="T13" s="308">
        <v>0</v>
      </c>
      <c r="U13" s="308">
        <v>0</v>
      </c>
      <c r="V13" s="309">
        <f t="shared" si="7"/>
        <v>0</v>
      </c>
      <c r="W13" s="308">
        <v>0</v>
      </c>
      <c r="X13" s="308">
        <v>0</v>
      </c>
      <c r="Y13" s="309">
        <f t="shared" si="8"/>
        <v>0</v>
      </c>
      <c r="Z13" s="308">
        <v>0</v>
      </c>
      <c r="AA13" s="308">
        <v>0</v>
      </c>
      <c r="AB13" s="309">
        <f t="shared" si="9"/>
        <v>0</v>
      </c>
      <c r="AC13" s="308">
        <v>0</v>
      </c>
      <c r="AD13" s="308">
        <v>0</v>
      </c>
      <c r="AE13" s="309">
        <f t="shared" si="10"/>
        <v>0</v>
      </c>
      <c r="AF13" s="308">
        <v>0</v>
      </c>
      <c r="AG13" s="308">
        <v>0</v>
      </c>
      <c r="AH13" s="309">
        <f t="shared" si="3"/>
        <v>0</v>
      </c>
      <c r="AI13" s="308">
        <v>0</v>
      </c>
      <c r="AJ13" s="308">
        <v>0</v>
      </c>
      <c r="AK13" s="309">
        <f t="shared" si="11"/>
        <v>0</v>
      </c>
    </row>
    <row r="14" spans="1:37" s="34" customFormat="1" ht="36.75" customHeight="1">
      <c r="A14" s="439" t="s">
        <v>950</v>
      </c>
      <c r="B14" s="440"/>
      <c r="C14" s="306" t="s">
        <v>1376</v>
      </c>
      <c r="D14" s="307" t="s">
        <v>191</v>
      </c>
      <c r="E14" s="308">
        <v>0</v>
      </c>
      <c r="F14" s="308">
        <f>1750000+10080151</f>
        <v>11830151</v>
      </c>
      <c r="G14" s="309">
        <f t="shared" si="1"/>
        <v>11830151</v>
      </c>
      <c r="H14" s="308">
        <v>0</v>
      </c>
      <c r="I14" s="308">
        <v>62355000</v>
      </c>
      <c r="J14" s="309">
        <f t="shared" si="2"/>
        <v>62355000</v>
      </c>
      <c r="K14" s="308">
        <v>280000000</v>
      </c>
      <c r="L14" s="308">
        <v>59720000</v>
      </c>
      <c r="M14" s="309">
        <f t="shared" si="4"/>
        <v>339720000</v>
      </c>
      <c r="N14" s="308">
        <v>280000000</v>
      </c>
      <c r="O14" s="308">
        <v>52740000</v>
      </c>
      <c r="P14" s="309">
        <f t="shared" si="5"/>
        <v>332740000</v>
      </c>
      <c r="Q14" s="308">
        <v>280000000</v>
      </c>
      <c r="R14" s="308">
        <v>45900000</v>
      </c>
      <c r="S14" s="309">
        <f t="shared" si="6"/>
        <v>325900000</v>
      </c>
      <c r="T14" s="308">
        <v>280000000</v>
      </c>
      <c r="U14" s="308">
        <v>38800000</v>
      </c>
      <c r="V14" s="309">
        <f t="shared" si="7"/>
        <v>318800000</v>
      </c>
      <c r="W14" s="308">
        <v>280000000</v>
      </c>
      <c r="X14" s="308">
        <v>32000000</v>
      </c>
      <c r="Y14" s="309">
        <f t="shared" si="8"/>
        <v>312000000</v>
      </c>
      <c r="Z14" s="308">
        <v>280000000</v>
      </c>
      <c r="AA14" s="308">
        <v>25000000</v>
      </c>
      <c r="AB14" s="309">
        <f t="shared" si="9"/>
        <v>305000000</v>
      </c>
      <c r="AC14" s="308">
        <v>280000000</v>
      </c>
      <c r="AD14" s="308">
        <v>18000000</v>
      </c>
      <c r="AE14" s="309">
        <f t="shared" si="10"/>
        <v>298000000</v>
      </c>
      <c r="AF14" s="308">
        <v>280000000</v>
      </c>
      <c r="AG14" s="308">
        <v>11000000</v>
      </c>
      <c r="AH14" s="309">
        <f t="shared" si="3"/>
        <v>291000000</v>
      </c>
      <c r="AI14" s="308">
        <v>260000000</v>
      </c>
      <c r="AJ14" s="308">
        <v>4000000</v>
      </c>
      <c r="AK14" s="309">
        <f t="shared" si="11"/>
        <v>264000000</v>
      </c>
    </row>
    <row r="15" spans="1:37" s="34" customFormat="1" ht="36.75" customHeight="1">
      <c r="A15" s="439" t="s">
        <v>1529</v>
      </c>
      <c r="B15" s="440"/>
      <c r="C15" s="306" t="s">
        <v>1376</v>
      </c>
      <c r="D15" s="307" t="s">
        <v>191</v>
      </c>
      <c r="E15" s="308">
        <v>0</v>
      </c>
      <c r="F15" s="308">
        <v>6000000</v>
      </c>
      <c r="G15" s="309">
        <f>SUM(E15:F15)</f>
        <v>6000000</v>
      </c>
      <c r="H15" s="308">
        <v>0</v>
      </c>
      <c r="I15" s="308">
        <v>35500000</v>
      </c>
      <c r="J15" s="309">
        <f>SUM(H15:I15)</f>
        <v>35500000</v>
      </c>
      <c r="K15" s="308">
        <v>156000000</v>
      </c>
      <c r="L15" s="308">
        <v>34200000</v>
      </c>
      <c r="M15" s="309">
        <f>SUM(K15:L15)</f>
        <v>190200000</v>
      </c>
      <c r="N15" s="308">
        <v>156000000</v>
      </c>
      <c r="O15" s="308">
        <v>30600000</v>
      </c>
      <c r="P15" s="309">
        <f>SUM(N15:O15)</f>
        <v>186600000</v>
      </c>
      <c r="Q15" s="308">
        <v>156000000</v>
      </c>
      <c r="R15" s="308">
        <v>27100000</v>
      </c>
      <c r="S15" s="309">
        <f>SUM(Q15:R15)</f>
        <v>183100000</v>
      </c>
      <c r="T15" s="308">
        <v>156000000</v>
      </c>
      <c r="U15" s="308">
        <v>23500000</v>
      </c>
      <c r="V15" s="309">
        <f>SUM(T15:U15)</f>
        <v>179500000</v>
      </c>
      <c r="W15" s="308">
        <v>156000000</v>
      </c>
      <c r="X15" s="308">
        <v>20000000</v>
      </c>
      <c r="Y15" s="309">
        <f>SUM(W15:X15)</f>
        <v>176000000</v>
      </c>
      <c r="Z15" s="308">
        <v>156000000</v>
      </c>
      <c r="AA15" s="308">
        <v>16400000</v>
      </c>
      <c r="AB15" s="309">
        <f>SUM(Z15:AA15)</f>
        <v>172400000</v>
      </c>
      <c r="AC15" s="308">
        <v>156000000</v>
      </c>
      <c r="AD15" s="308">
        <v>12800000</v>
      </c>
      <c r="AE15" s="309">
        <f>SUM(AC15:AD15)</f>
        <v>168800000</v>
      </c>
      <c r="AF15" s="308">
        <v>156000000</v>
      </c>
      <c r="AG15" s="308">
        <v>9300000</v>
      </c>
      <c r="AH15" s="309">
        <f>SUM(AF15:AG15)</f>
        <v>165300000</v>
      </c>
      <c r="AI15" s="308">
        <v>152000000</v>
      </c>
      <c r="AJ15" s="308">
        <v>5700000</v>
      </c>
      <c r="AK15" s="309">
        <f>SUM(AI15:AJ15)</f>
        <v>157700000</v>
      </c>
    </row>
    <row r="16" spans="1:37" s="34" customFormat="1" ht="26.25" customHeight="1">
      <c r="A16" s="450" t="s">
        <v>216</v>
      </c>
      <c r="B16" s="450"/>
      <c r="C16" s="450"/>
      <c r="D16" s="304"/>
      <c r="E16" s="310">
        <v>0</v>
      </c>
      <c r="F16" s="310">
        <f>SUM(F17)</f>
        <v>5000000</v>
      </c>
      <c r="G16" s="309">
        <f t="shared" si="1"/>
        <v>5000000</v>
      </c>
      <c r="H16" s="310">
        <v>0</v>
      </c>
      <c r="I16" s="310">
        <v>0</v>
      </c>
      <c r="J16" s="309">
        <f t="shared" si="2"/>
        <v>0</v>
      </c>
      <c r="K16" s="310">
        <v>0</v>
      </c>
      <c r="L16" s="310">
        <v>0</v>
      </c>
      <c r="M16" s="309">
        <f t="shared" si="4"/>
        <v>0</v>
      </c>
      <c r="N16" s="310">
        <v>0</v>
      </c>
      <c r="O16" s="310">
        <v>0</v>
      </c>
      <c r="P16" s="309">
        <f t="shared" si="5"/>
        <v>0</v>
      </c>
      <c r="Q16" s="310">
        <v>0</v>
      </c>
      <c r="R16" s="310">
        <v>0</v>
      </c>
      <c r="S16" s="309">
        <f t="shared" si="6"/>
        <v>0</v>
      </c>
      <c r="T16" s="310">
        <v>0</v>
      </c>
      <c r="U16" s="310">
        <v>0</v>
      </c>
      <c r="V16" s="309">
        <f t="shared" si="7"/>
        <v>0</v>
      </c>
      <c r="W16" s="310">
        <v>0</v>
      </c>
      <c r="X16" s="310">
        <v>0</v>
      </c>
      <c r="Y16" s="309">
        <f t="shared" si="8"/>
        <v>0</v>
      </c>
      <c r="Z16" s="310">
        <v>0</v>
      </c>
      <c r="AA16" s="310">
        <v>0</v>
      </c>
      <c r="AB16" s="309">
        <f t="shared" si="9"/>
        <v>0</v>
      </c>
      <c r="AC16" s="310">
        <v>0</v>
      </c>
      <c r="AD16" s="310">
        <v>0</v>
      </c>
      <c r="AE16" s="309">
        <f t="shared" si="10"/>
        <v>0</v>
      </c>
      <c r="AF16" s="310">
        <v>0</v>
      </c>
      <c r="AG16" s="310">
        <v>0</v>
      </c>
      <c r="AH16" s="309">
        <f t="shared" si="3"/>
        <v>0</v>
      </c>
      <c r="AI16" s="310">
        <v>0</v>
      </c>
      <c r="AJ16" s="310">
        <v>0</v>
      </c>
      <c r="AK16" s="309">
        <f t="shared" si="11"/>
        <v>0</v>
      </c>
    </row>
    <row r="17" spans="1:37" s="34" customFormat="1" ht="36.75" customHeight="1">
      <c r="A17" s="439" t="s">
        <v>1503</v>
      </c>
      <c r="B17" s="453"/>
      <c r="C17" s="440"/>
      <c r="D17" s="307" t="s">
        <v>191</v>
      </c>
      <c r="E17" s="311">
        <v>0</v>
      </c>
      <c r="F17" s="311">
        <v>5000000</v>
      </c>
      <c r="G17" s="309">
        <f t="shared" si="1"/>
        <v>5000000</v>
      </c>
      <c r="H17" s="311">
        <v>0</v>
      </c>
      <c r="I17" s="311">
        <v>0</v>
      </c>
      <c r="J17" s="309">
        <f t="shared" si="2"/>
        <v>0</v>
      </c>
      <c r="K17" s="311">
        <v>0</v>
      </c>
      <c r="L17" s="311">
        <v>0</v>
      </c>
      <c r="M17" s="309">
        <f t="shared" si="4"/>
        <v>0</v>
      </c>
      <c r="N17" s="311">
        <v>0</v>
      </c>
      <c r="O17" s="311">
        <v>0</v>
      </c>
      <c r="P17" s="309">
        <f t="shared" si="5"/>
        <v>0</v>
      </c>
      <c r="Q17" s="311">
        <v>0</v>
      </c>
      <c r="R17" s="311">
        <v>0</v>
      </c>
      <c r="S17" s="309">
        <f t="shared" si="6"/>
        <v>0</v>
      </c>
      <c r="T17" s="311">
        <v>0</v>
      </c>
      <c r="U17" s="311">
        <v>0</v>
      </c>
      <c r="V17" s="309">
        <f t="shared" si="7"/>
        <v>0</v>
      </c>
      <c r="W17" s="311">
        <v>0</v>
      </c>
      <c r="X17" s="311">
        <v>0</v>
      </c>
      <c r="Y17" s="309">
        <f t="shared" si="8"/>
        <v>0</v>
      </c>
      <c r="Z17" s="311">
        <v>0</v>
      </c>
      <c r="AA17" s="311">
        <v>0</v>
      </c>
      <c r="AB17" s="309">
        <f t="shared" si="9"/>
        <v>0</v>
      </c>
      <c r="AC17" s="311">
        <v>0</v>
      </c>
      <c r="AD17" s="311">
        <v>0</v>
      </c>
      <c r="AE17" s="309">
        <f t="shared" si="10"/>
        <v>0</v>
      </c>
      <c r="AF17" s="311">
        <v>0</v>
      </c>
      <c r="AG17" s="311">
        <v>0</v>
      </c>
      <c r="AH17" s="309">
        <f t="shared" si="3"/>
        <v>0</v>
      </c>
      <c r="AI17" s="311">
        <v>0</v>
      </c>
      <c r="AJ17" s="311">
        <v>0</v>
      </c>
      <c r="AK17" s="309">
        <f t="shared" si="11"/>
        <v>0</v>
      </c>
    </row>
    <row r="18" spans="1:37" s="32" customFormat="1" ht="32.25" customHeight="1">
      <c r="A18" s="441" t="s">
        <v>217</v>
      </c>
      <c r="B18" s="441"/>
      <c r="C18" s="441"/>
      <c r="D18" s="312"/>
      <c r="E18" s="309">
        <f aca="true" t="shared" si="12" ref="E18:AK18">E9+E16</f>
        <v>30166207203</v>
      </c>
      <c r="F18" s="309">
        <f t="shared" si="12"/>
        <v>2399873990</v>
      </c>
      <c r="G18" s="309">
        <f t="shared" si="12"/>
        <v>32566081193</v>
      </c>
      <c r="H18" s="309">
        <f t="shared" si="12"/>
        <v>710000000</v>
      </c>
      <c r="I18" s="309">
        <f t="shared" si="12"/>
        <v>243290000</v>
      </c>
      <c r="J18" s="309">
        <f t="shared" si="12"/>
        <v>953290000</v>
      </c>
      <c r="K18" s="309">
        <f t="shared" si="12"/>
        <v>986000000</v>
      </c>
      <c r="L18" s="309">
        <f t="shared" si="12"/>
        <v>226826875</v>
      </c>
      <c r="M18" s="309">
        <f t="shared" si="12"/>
        <v>1212826875</v>
      </c>
      <c r="N18" s="309">
        <f t="shared" si="12"/>
        <v>4650792797</v>
      </c>
      <c r="O18" s="309">
        <f t="shared" si="12"/>
        <v>204718750</v>
      </c>
      <c r="P18" s="309">
        <f t="shared" si="12"/>
        <v>4855511547</v>
      </c>
      <c r="Q18" s="309">
        <f t="shared" si="12"/>
        <v>986000000</v>
      </c>
      <c r="R18" s="309">
        <f t="shared" si="12"/>
        <v>139995000</v>
      </c>
      <c r="S18" s="309">
        <f t="shared" si="12"/>
        <v>1125995000</v>
      </c>
      <c r="T18" s="309">
        <f t="shared" si="12"/>
        <v>986000000</v>
      </c>
      <c r="U18" s="309">
        <f t="shared" si="12"/>
        <v>117514219</v>
      </c>
      <c r="V18" s="309">
        <f t="shared" si="12"/>
        <v>1103514219</v>
      </c>
      <c r="W18" s="309">
        <f t="shared" si="12"/>
        <v>986000000</v>
      </c>
      <c r="X18" s="309">
        <f t="shared" si="12"/>
        <v>96897500</v>
      </c>
      <c r="Y18" s="309">
        <f t="shared" si="12"/>
        <v>1082897500</v>
      </c>
      <c r="Z18" s="309">
        <f t="shared" si="12"/>
        <v>986000000</v>
      </c>
      <c r="AA18" s="309">
        <f t="shared" si="12"/>
        <v>74666250</v>
      </c>
      <c r="AB18" s="309">
        <f t="shared" si="12"/>
        <v>1060666250</v>
      </c>
      <c r="AC18" s="309">
        <f t="shared" si="12"/>
        <v>986000000</v>
      </c>
      <c r="AD18" s="309">
        <f t="shared" si="12"/>
        <v>52600000</v>
      </c>
      <c r="AE18" s="309">
        <f t="shared" si="12"/>
        <v>1038600000</v>
      </c>
      <c r="AF18" s="309">
        <f t="shared" si="12"/>
        <v>686000000</v>
      </c>
      <c r="AG18" s="309">
        <f t="shared" si="12"/>
        <v>32510000</v>
      </c>
      <c r="AH18" s="309">
        <f t="shared" si="12"/>
        <v>718510000</v>
      </c>
      <c r="AI18" s="309">
        <f t="shared" si="12"/>
        <v>662000000</v>
      </c>
      <c r="AJ18" s="309">
        <f t="shared" si="12"/>
        <v>14381875</v>
      </c>
      <c r="AK18" s="309">
        <f t="shared" si="12"/>
        <v>676381875</v>
      </c>
    </row>
    <row r="21" ht="12.75" customHeight="1">
      <c r="F21" s="175"/>
    </row>
    <row r="22" ht="12.75" customHeight="1">
      <c r="AJ22" s="175"/>
    </row>
  </sheetData>
  <sheetProtection selectLockedCells="1" selectUnlockedCells="1"/>
  <mergeCells count="26">
    <mergeCell ref="Z7:AB7"/>
    <mergeCell ref="A9:C9"/>
    <mergeCell ref="A3:V3"/>
    <mergeCell ref="A2:V2"/>
    <mergeCell ref="A16:C16"/>
    <mergeCell ref="A17:C17"/>
    <mergeCell ref="A10:B10"/>
    <mergeCell ref="A11:B11"/>
    <mergeCell ref="A12:B12"/>
    <mergeCell ref="A14:B14"/>
    <mergeCell ref="W7:Y7"/>
    <mergeCell ref="E7:G7"/>
    <mergeCell ref="AC7:AE7"/>
    <mergeCell ref="A13:B13"/>
    <mergeCell ref="AI7:AK7"/>
    <mergeCell ref="D7:D8"/>
    <mergeCell ref="C7:C8"/>
    <mergeCell ref="AF7:AH7"/>
    <mergeCell ref="H7:J7"/>
    <mergeCell ref="K7:M7"/>
    <mergeCell ref="A15:B15"/>
    <mergeCell ref="A18:C18"/>
    <mergeCell ref="A7:B8"/>
    <mergeCell ref="N7:P7"/>
    <mergeCell ref="Q7:S7"/>
    <mergeCell ref="T7:V7"/>
  </mergeCells>
  <printOptions horizontalCentered="1" verticalCentered="1"/>
  <pageMargins left="0.2362204724409449" right="0.2362204724409449" top="0.15748031496062992" bottom="0.15748031496062992" header="0.5118110236220472" footer="0.5118110236220472"/>
  <pageSetup horizontalDpi="600" verticalDpi="600" orientation="landscape" paperSize="9" scale="40" r:id="rId1"/>
  <colBreaks count="1" manualBreakCount="1">
    <brk id="22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52"/>
  <sheetViews>
    <sheetView view="pageBreakPreview" zoomScale="71" zoomScaleNormal="71" zoomScaleSheetLayoutView="71" zoomScalePageLayoutView="0" workbookViewId="0" topLeftCell="A1">
      <pane xSplit="3" ySplit="10" topLeftCell="E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V1"/>
    </sheetView>
  </sheetViews>
  <sheetFormatPr defaultColWidth="9.140625" defaultRowHeight="12.75"/>
  <cols>
    <col min="1" max="1" width="5.140625" style="38" customWidth="1"/>
    <col min="2" max="2" width="9.8515625" style="38" customWidth="1"/>
    <col min="3" max="3" width="39.8515625" style="38" customWidth="1"/>
    <col min="4" max="4" width="23.57421875" style="38" customWidth="1"/>
    <col min="5" max="6" width="14.57421875" style="38" customWidth="1"/>
    <col min="7" max="7" width="19.7109375" style="38" customWidth="1"/>
    <col min="8" max="8" width="19.421875" style="38" customWidth="1"/>
    <col min="9" max="9" width="21.28125" style="38" customWidth="1"/>
    <col min="10" max="10" width="20.28125" style="38" customWidth="1"/>
    <col min="11" max="12" width="14.57421875" style="38" customWidth="1"/>
    <col min="13" max="13" width="20.421875" style="38" customWidth="1"/>
    <col min="14" max="15" width="14.57421875" style="38" customWidth="1"/>
    <col min="16" max="16" width="21.140625" style="38" customWidth="1"/>
    <col min="17" max="21" width="14.57421875" style="38" customWidth="1"/>
    <col min="22" max="22" width="21.8515625" style="38" customWidth="1"/>
    <col min="23" max="16384" width="9.140625" style="38" customWidth="1"/>
  </cols>
  <sheetData>
    <row r="1" spans="1:22" ht="28.5" customHeight="1">
      <c r="A1" s="460" t="s">
        <v>1539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</row>
    <row r="2" spans="1:22" ht="24" customHeight="1">
      <c r="A2" s="466" t="s">
        <v>1511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</row>
    <row r="3" spans="1:22" ht="18" customHeight="1">
      <c r="A3" s="412" t="s">
        <v>218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</row>
    <row r="4" spans="1:22" ht="15" customHeight="1">
      <c r="A4" s="461" t="s">
        <v>219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</row>
    <row r="5" spans="1:22" ht="14.2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1"/>
      <c r="M5" s="1"/>
      <c r="N5" s="1"/>
      <c r="O5" s="1"/>
      <c r="P5" s="1"/>
      <c r="Q5" s="1"/>
      <c r="R5" s="1"/>
      <c r="S5" s="1"/>
      <c r="T5" s="1"/>
      <c r="U5" s="1"/>
      <c r="V5" s="381" t="s">
        <v>0</v>
      </c>
    </row>
    <row r="6" spans="1:22" ht="14.2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117" t="s">
        <v>11</v>
      </c>
      <c r="L6" s="123" t="s">
        <v>12</v>
      </c>
      <c r="M6" s="123" t="s">
        <v>13</v>
      </c>
      <c r="N6" s="96" t="s">
        <v>14</v>
      </c>
      <c r="O6" s="96" t="s">
        <v>15</v>
      </c>
      <c r="P6" s="96" t="s">
        <v>16</v>
      </c>
      <c r="Q6" s="96" t="s">
        <v>17</v>
      </c>
      <c r="R6" s="96" t="s">
        <v>18</v>
      </c>
      <c r="S6" s="96" t="s">
        <v>19</v>
      </c>
      <c r="T6" s="96" t="s">
        <v>20</v>
      </c>
      <c r="U6" s="96" t="s">
        <v>21</v>
      </c>
      <c r="V6" s="127" t="s">
        <v>179</v>
      </c>
    </row>
    <row r="7" spans="1:22" ht="12.75" customHeight="1">
      <c r="A7" s="458" t="s">
        <v>23</v>
      </c>
      <c r="B7" s="458" t="s">
        <v>183</v>
      </c>
      <c r="C7" s="406" t="s">
        <v>24</v>
      </c>
      <c r="D7" s="409" t="s">
        <v>1262</v>
      </c>
      <c r="E7" s="455" t="s">
        <v>25</v>
      </c>
      <c r="F7" s="455"/>
      <c r="G7" s="455"/>
      <c r="H7" s="455"/>
      <c r="I7" s="455"/>
      <c r="J7" s="455"/>
      <c r="K7" s="455"/>
      <c r="L7" s="456"/>
      <c r="M7" s="409" t="s">
        <v>1467</v>
      </c>
      <c r="N7" s="462" t="s">
        <v>1466</v>
      </c>
      <c r="O7" s="462"/>
      <c r="P7" s="462"/>
      <c r="Q7" s="462"/>
      <c r="R7" s="462"/>
      <c r="S7" s="462"/>
      <c r="T7" s="462"/>
      <c r="U7" s="463"/>
      <c r="V7" s="459" t="s">
        <v>1012</v>
      </c>
    </row>
    <row r="8" spans="1:22" ht="12.75" customHeight="1">
      <c r="A8" s="458"/>
      <c r="B8" s="458"/>
      <c r="C8" s="406"/>
      <c r="D8" s="406"/>
      <c r="E8" s="405" t="s">
        <v>26</v>
      </c>
      <c r="F8" s="405"/>
      <c r="G8" s="405"/>
      <c r="H8" s="405"/>
      <c r="I8" s="405"/>
      <c r="J8" s="405" t="s">
        <v>27</v>
      </c>
      <c r="K8" s="405"/>
      <c r="L8" s="457"/>
      <c r="M8" s="406"/>
      <c r="N8" s="464" t="s">
        <v>26</v>
      </c>
      <c r="O8" s="464"/>
      <c r="P8" s="464"/>
      <c r="Q8" s="464"/>
      <c r="R8" s="464"/>
      <c r="S8" s="464" t="s">
        <v>27</v>
      </c>
      <c r="T8" s="464"/>
      <c r="U8" s="465"/>
      <c r="V8" s="459"/>
    </row>
    <row r="9" spans="1:22" ht="89.25" customHeight="1">
      <c r="A9" s="458"/>
      <c r="B9" s="458"/>
      <c r="C9" s="406"/>
      <c r="D9" s="406"/>
      <c r="E9" s="5" t="s">
        <v>28</v>
      </c>
      <c r="F9" s="5" t="s">
        <v>29</v>
      </c>
      <c r="G9" s="5" t="s">
        <v>30</v>
      </c>
      <c r="H9" s="5" t="s">
        <v>31</v>
      </c>
      <c r="I9" s="5" t="s">
        <v>32</v>
      </c>
      <c r="J9" s="5" t="s">
        <v>33</v>
      </c>
      <c r="K9" s="5" t="s">
        <v>34</v>
      </c>
      <c r="L9" s="114" t="s">
        <v>35</v>
      </c>
      <c r="M9" s="406"/>
      <c r="N9" s="97" t="s">
        <v>28</v>
      </c>
      <c r="O9" s="97" t="s">
        <v>29</v>
      </c>
      <c r="P9" s="97" t="s">
        <v>30</v>
      </c>
      <c r="Q9" s="97" t="s">
        <v>31</v>
      </c>
      <c r="R9" s="97" t="s">
        <v>32</v>
      </c>
      <c r="S9" s="97" t="s">
        <v>33</v>
      </c>
      <c r="T9" s="97" t="s">
        <v>34</v>
      </c>
      <c r="U9" s="319" t="s">
        <v>35</v>
      </c>
      <c r="V9" s="459"/>
    </row>
    <row r="10" spans="1:22" ht="18">
      <c r="A10" s="6" t="s">
        <v>51</v>
      </c>
      <c r="B10" s="6"/>
      <c r="C10" s="41" t="s">
        <v>39</v>
      </c>
      <c r="D10" s="42">
        <f>SUM(E10:L10)</f>
        <v>2783167494</v>
      </c>
      <c r="E10" s="43">
        <f aca="true" t="shared" si="0" ref="E10:K10">SUM(E11:E32)</f>
        <v>0</v>
      </c>
      <c r="F10" s="43">
        <f t="shared" si="0"/>
        <v>0</v>
      </c>
      <c r="G10" s="43">
        <f t="shared" si="0"/>
        <v>2691792525</v>
      </c>
      <c r="H10" s="43">
        <f t="shared" si="0"/>
        <v>0</v>
      </c>
      <c r="I10" s="43">
        <f t="shared" si="0"/>
        <v>91374969</v>
      </c>
      <c r="J10" s="43">
        <f t="shared" si="0"/>
        <v>0</v>
      </c>
      <c r="K10" s="43">
        <f t="shared" si="0"/>
        <v>0</v>
      </c>
      <c r="L10" s="124">
        <f>SUM(L11:L32)</f>
        <v>0</v>
      </c>
      <c r="M10" s="42">
        <f aca="true" t="shared" si="1" ref="M10:U10">SUM(M11:M32)</f>
        <v>2589219798</v>
      </c>
      <c r="N10" s="124">
        <f t="shared" si="1"/>
        <v>0</v>
      </c>
      <c r="O10" s="124">
        <f t="shared" si="1"/>
        <v>0</v>
      </c>
      <c r="P10" s="124">
        <f t="shared" si="1"/>
        <v>2495383061</v>
      </c>
      <c r="Q10" s="124">
        <f t="shared" si="1"/>
        <v>0</v>
      </c>
      <c r="R10" s="124">
        <f t="shared" si="1"/>
        <v>91374969</v>
      </c>
      <c r="S10" s="124">
        <f t="shared" si="1"/>
        <v>2461768</v>
      </c>
      <c r="T10" s="124">
        <f t="shared" si="1"/>
        <v>0</v>
      </c>
      <c r="U10" s="124">
        <f t="shared" si="1"/>
        <v>0</v>
      </c>
      <c r="V10" s="459"/>
    </row>
    <row r="11" spans="1:22" ht="18">
      <c r="A11" s="6"/>
      <c r="B11" s="6" t="s">
        <v>220</v>
      </c>
      <c r="C11" s="44" t="s">
        <v>221</v>
      </c>
      <c r="D11" s="45">
        <f aca="true" t="shared" si="2" ref="D11:D32">SUM(E11:L11)</f>
        <v>20000000</v>
      </c>
      <c r="E11" s="46">
        <v>0</v>
      </c>
      <c r="F11" s="46">
        <v>0</v>
      </c>
      <c r="G11" s="46">
        <v>20000000</v>
      </c>
      <c r="H11" s="46">
        <v>0</v>
      </c>
      <c r="I11" s="46">
        <v>0</v>
      </c>
      <c r="J11" s="46">
        <v>0</v>
      </c>
      <c r="K11" s="46">
        <v>0</v>
      </c>
      <c r="L11" s="125">
        <v>0</v>
      </c>
      <c r="M11" s="45">
        <f>SUM(N11:U11)</f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315" t="s">
        <v>1013</v>
      </c>
    </row>
    <row r="12" spans="1:22" ht="18">
      <c r="A12" s="6"/>
      <c r="B12" s="6" t="s">
        <v>222</v>
      </c>
      <c r="C12" s="44" t="s">
        <v>223</v>
      </c>
      <c r="D12" s="45">
        <f t="shared" si="2"/>
        <v>18653311</v>
      </c>
      <c r="E12" s="46">
        <v>0</v>
      </c>
      <c r="F12" s="46">
        <v>0</v>
      </c>
      <c r="G12" s="46">
        <v>18653311</v>
      </c>
      <c r="H12" s="46">
        <v>0</v>
      </c>
      <c r="I12" s="46">
        <v>0</v>
      </c>
      <c r="J12" s="46">
        <v>0</v>
      </c>
      <c r="K12" s="46">
        <v>0</v>
      </c>
      <c r="L12" s="125">
        <v>0</v>
      </c>
      <c r="M12" s="45">
        <f aca="true" t="shared" si="3" ref="M12:M32">SUM(N12:U12)</f>
        <v>18653311</v>
      </c>
      <c r="N12" s="102">
        <v>0</v>
      </c>
      <c r="O12" s="102">
        <v>0</v>
      </c>
      <c r="P12" s="102">
        <v>18653311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315" t="s">
        <v>1014</v>
      </c>
    </row>
    <row r="13" spans="1:22" ht="30">
      <c r="A13" s="6"/>
      <c r="B13" s="6" t="s">
        <v>224</v>
      </c>
      <c r="C13" s="44" t="s">
        <v>225</v>
      </c>
      <c r="D13" s="45">
        <f t="shared" si="2"/>
        <v>42001531</v>
      </c>
      <c r="E13" s="46">
        <v>0</v>
      </c>
      <c r="F13" s="46">
        <v>0</v>
      </c>
      <c r="G13" s="46">
        <v>42001531</v>
      </c>
      <c r="H13" s="46">
        <v>0</v>
      </c>
      <c r="I13" s="46">
        <v>0</v>
      </c>
      <c r="J13" s="46">
        <v>0</v>
      </c>
      <c r="K13" s="46">
        <v>0</v>
      </c>
      <c r="L13" s="125">
        <v>0</v>
      </c>
      <c r="M13" s="45">
        <f t="shared" si="3"/>
        <v>42001531</v>
      </c>
      <c r="N13" s="102">
        <v>0</v>
      </c>
      <c r="O13" s="102">
        <v>0</v>
      </c>
      <c r="P13" s="102">
        <v>42001531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315" t="s">
        <v>1015</v>
      </c>
    </row>
    <row r="14" spans="1:22" ht="18">
      <c r="A14" s="6"/>
      <c r="B14" s="6" t="s">
        <v>226</v>
      </c>
      <c r="C14" s="44" t="s">
        <v>227</v>
      </c>
      <c r="D14" s="45">
        <f t="shared" si="2"/>
        <v>10020346</v>
      </c>
      <c r="E14" s="46">
        <v>0</v>
      </c>
      <c r="F14" s="46">
        <v>0</v>
      </c>
      <c r="G14" s="46">
        <v>10020346</v>
      </c>
      <c r="H14" s="46">
        <v>0</v>
      </c>
      <c r="I14" s="46">
        <v>0</v>
      </c>
      <c r="J14" s="46">
        <v>0</v>
      </c>
      <c r="K14" s="46">
        <v>0</v>
      </c>
      <c r="L14" s="125">
        <v>0</v>
      </c>
      <c r="M14" s="45">
        <f t="shared" si="3"/>
        <v>20346</v>
      </c>
      <c r="N14" s="102">
        <v>0</v>
      </c>
      <c r="O14" s="102">
        <v>0</v>
      </c>
      <c r="P14" s="102">
        <v>20346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315" t="s">
        <v>1016</v>
      </c>
    </row>
    <row r="15" spans="1:22" ht="18">
      <c r="A15" s="6"/>
      <c r="B15" s="6" t="s">
        <v>228</v>
      </c>
      <c r="C15" s="44" t="s">
        <v>229</v>
      </c>
      <c r="D15" s="45">
        <f t="shared" si="2"/>
        <v>4263652</v>
      </c>
      <c r="E15" s="46">
        <v>0</v>
      </c>
      <c r="F15" s="46">
        <v>0</v>
      </c>
      <c r="G15" s="46">
        <v>4263652</v>
      </c>
      <c r="H15" s="46">
        <v>0</v>
      </c>
      <c r="I15" s="46">
        <v>0</v>
      </c>
      <c r="J15" s="46">
        <v>0</v>
      </c>
      <c r="K15" s="46">
        <v>0</v>
      </c>
      <c r="L15" s="125">
        <v>0</v>
      </c>
      <c r="M15" s="45">
        <f t="shared" si="3"/>
        <v>3875997</v>
      </c>
      <c r="N15" s="102">
        <v>0</v>
      </c>
      <c r="O15" s="102">
        <v>0</v>
      </c>
      <c r="P15" s="102">
        <v>3875997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315" t="s">
        <v>1017</v>
      </c>
    </row>
    <row r="16" spans="1:22" ht="18">
      <c r="A16" s="6"/>
      <c r="B16" s="6" t="s">
        <v>230</v>
      </c>
      <c r="C16" s="44" t="s">
        <v>231</v>
      </c>
      <c r="D16" s="45">
        <f t="shared" si="2"/>
        <v>11016000</v>
      </c>
      <c r="E16" s="46">
        <v>0</v>
      </c>
      <c r="F16" s="46">
        <v>0</v>
      </c>
      <c r="G16" s="46">
        <v>11016000</v>
      </c>
      <c r="H16" s="46">
        <v>0</v>
      </c>
      <c r="I16" s="46">
        <v>0</v>
      </c>
      <c r="J16" s="46">
        <v>0</v>
      </c>
      <c r="K16" s="46">
        <v>0</v>
      </c>
      <c r="L16" s="125">
        <v>0</v>
      </c>
      <c r="M16" s="45">
        <f t="shared" si="3"/>
        <v>5000000</v>
      </c>
      <c r="N16" s="102">
        <v>0</v>
      </c>
      <c r="O16" s="102">
        <v>0</v>
      </c>
      <c r="P16" s="102">
        <v>5000000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315" t="s">
        <v>1018</v>
      </c>
    </row>
    <row r="17" spans="1:22" ht="60">
      <c r="A17" s="6"/>
      <c r="B17" s="6" t="s">
        <v>232</v>
      </c>
      <c r="C17" s="44" t="s">
        <v>233</v>
      </c>
      <c r="D17" s="45">
        <f t="shared" si="2"/>
        <v>5017140</v>
      </c>
      <c r="E17" s="46">
        <v>0</v>
      </c>
      <c r="F17" s="46">
        <v>0</v>
      </c>
      <c r="G17" s="46">
        <v>5017140</v>
      </c>
      <c r="H17" s="46">
        <v>0</v>
      </c>
      <c r="I17" s="46">
        <v>0</v>
      </c>
      <c r="J17" s="46">
        <v>0</v>
      </c>
      <c r="K17" s="46">
        <v>0</v>
      </c>
      <c r="L17" s="125">
        <v>0</v>
      </c>
      <c r="M17" s="45">
        <f t="shared" si="3"/>
        <v>5017140</v>
      </c>
      <c r="N17" s="102">
        <v>0</v>
      </c>
      <c r="O17" s="102">
        <v>0</v>
      </c>
      <c r="P17" s="102">
        <v>5017140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315" t="s">
        <v>1019</v>
      </c>
    </row>
    <row r="18" spans="1:22" ht="30">
      <c r="A18" s="6"/>
      <c r="B18" s="6" t="s">
        <v>234</v>
      </c>
      <c r="C18" s="9" t="s">
        <v>774</v>
      </c>
      <c r="D18" s="45">
        <f t="shared" si="2"/>
        <v>91374969</v>
      </c>
      <c r="E18" s="46">
        <v>0</v>
      </c>
      <c r="F18" s="46">
        <v>0</v>
      </c>
      <c r="G18" s="46">
        <v>0</v>
      </c>
      <c r="H18" s="46">
        <v>0</v>
      </c>
      <c r="I18" s="46">
        <v>91374969</v>
      </c>
      <c r="J18" s="46">
        <v>0</v>
      </c>
      <c r="K18" s="46">
        <v>0</v>
      </c>
      <c r="L18" s="126">
        <v>0</v>
      </c>
      <c r="M18" s="45">
        <f t="shared" si="3"/>
        <v>91374969</v>
      </c>
      <c r="N18" s="102">
        <v>0</v>
      </c>
      <c r="O18" s="102">
        <v>0</v>
      </c>
      <c r="P18" s="105">
        <v>0</v>
      </c>
      <c r="Q18" s="102">
        <v>0</v>
      </c>
      <c r="R18" s="105">
        <v>91374969</v>
      </c>
      <c r="S18" s="102">
        <v>0</v>
      </c>
      <c r="T18" s="102">
        <v>0</v>
      </c>
      <c r="U18" s="102">
        <v>0</v>
      </c>
      <c r="V18" s="315" t="s">
        <v>1020</v>
      </c>
    </row>
    <row r="19" spans="1:22" ht="18">
      <c r="A19" s="6"/>
      <c r="B19" s="6" t="s">
        <v>235</v>
      </c>
      <c r="C19" s="44" t="s">
        <v>236</v>
      </c>
      <c r="D19" s="45">
        <f t="shared" si="2"/>
        <v>590762370</v>
      </c>
      <c r="E19" s="46">
        <v>0</v>
      </c>
      <c r="F19" s="46">
        <v>0</v>
      </c>
      <c r="G19" s="46">
        <v>590762370</v>
      </c>
      <c r="H19" s="46">
        <v>0</v>
      </c>
      <c r="I19" s="46">
        <v>0</v>
      </c>
      <c r="J19" s="46">
        <v>0</v>
      </c>
      <c r="K19" s="46">
        <v>0</v>
      </c>
      <c r="L19" s="125">
        <v>0</v>
      </c>
      <c r="M19" s="45">
        <f t="shared" si="3"/>
        <v>655625594</v>
      </c>
      <c r="N19" s="102">
        <v>0</v>
      </c>
      <c r="O19" s="102">
        <v>0</v>
      </c>
      <c r="P19" s="102">
        <v>655625594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315" t="s">
        <v>1021</v>
      </c>
    </row>
    <row r="20" spans="1:22" ht="18">
      <c r="A20" s="6"/>
      <c r="B20" s="6" t="s">
        <v>237</v>
      </c>
      <c r="C20" s="44" t="s">
        <v>238</v>
      </c>
      <c r="D20" s="45">
        <f t="shared" si="2"/>
        <v>22023301</v>
      </c>
      <c r="E20" s="46">
        <v>0</v>
      </c>
      <c r="F20" s="46">
        <v>0</v>
      </c>
      <c r="G20" s="46">
        <v>22023301</v>
      </c>
      <c r="H20" s="46">
        <v>0</v>
      </c>
      <c r="I20" s="46">
        <v>0</v>
      </c>
      <c r="J20" s="46">
        <v>0</v>
      </c>
      <c r="K20" s="46">
        <v>0</v>
      </c>
      <c r="L20" s="125">
        <v>0</v>
      </c>
      <c r="M20" s="45">
        <f t="shared" si="3"/>
        <v>22023301</v>
      </c>
      <c r="N20" s="102">
        <v>0</v>
      </c>
      <c r="O20" s="102">
        <v>0</v>
      </c>
      <c r="P20" s="102">
        <v>22023301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315" t="s">
        <v>1022</v>
      </c>
    </row>
    <row r="21" spans="1:22" ht="30">
      <c r="A21" s="6"/>
      <c r="B21" s="6" t="s">
        <v>239</v>
      </c>
      <c r="C21" s="44" t="s">
        <v>240</v>
      </c>
      <c r="D21" s="45">
        <f t="shared" si="2"/>
        <v>6000000</v>
      </c>
      <c r="E21" s="46">
        <v>0</v>
      </c>
      <c r="F21" s="46">
        <v>0</v>
      </c>
      <c r="G21" s="46">
        <v>6000000</v>
      </c>
      <c r="H21" s="46">
        <v>0</v>
      </c>
      <c r="I21" s="46">
        <v>0</v>
      </c>
      <c r="J21" s="46">
        <v>0</v>
      </c>
      <c r="K21" s="46">
        <v>0</v>
      </c>
      <c r="L21" s="125">
        <v>0</v>
      </c>
      <c r="M21" s="45">
        <f t="shared" si="3"/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315" t="s">
        <v>1023</v>
      </c>
    </row>
    <row r="22" spans="1:22" ht="30">
      <c r="A22" s="6"/>
      <c r="B22" s="6" t="s">
        <v>241</v>
      </c>
      <c r="C22" s="48" t="s">
        <v>243</v>
      </c>
      <c r="D22" s="45">
        <f t="shared" si="2"/>
        <v>22666707</v>
      </c>
      <c r="E22" s="46">
        <v>0</v>
      </c>
      <c r="F22" s="46">
        <v>0</v>
      </c>
      <c r="G22" s="46">
        <v>22666707</v>
      </c>
      <c r="H22" s="46">
        <v>0</v>
      </c>
      <c r="I22" s="46">
        <v>0</v>
      </c>
      <c r="J22" s="46">
        <v>0</v>
      </c>
      <c r="K22" s="46">
        <v>0</v>
      </c>
      <c r="L22" s="125">
        <v>0</v>
      </c>
      <c r="M22" s="45">
        <f t="shared" si="3"/>
        <v>22666707</v>
      </c>
      <c r="N22" s="102">
        <v>0</v>
      </c>
      <c r="O22" s="102">
        <v>0</v>
      </c>
      <c r="P22" s="102">
        <v>22666707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315" t="s">
        <v>1024</v>
      </c>
    </row>
    <row r="23" spans="1:22" ht="18">
      <c r="A23" s="6"/>
      <c r="B23" s="6" t="s">
        <v>242</v>
      </c>
      <c r="C23" s="48" t="s">
        <v>246</v>
      </c>
      <c r="D23" s="45">
        <f t="shared" si="2"/>
        <v>242811755</v>
      </c>
      <c r="E23" s="46">
        <v>0</v>
      </c>
      <c r="F23" s="46">
        <v>0</v>
      </c>
      <c r="G23" s="46">
        <v>242811755</v>
      </c>
      <c r="H23" s="46">
        <v>0</v>
      </c>
      <c r="I23" s="46">
        <v>0</v>
      </c>
      <c r="J23" s="46">
        <v>0</v>
      </c>
      <c r="K23" s="46">
        <v>0</v>
      </c>
      <c r="L23" s="125">
        <v>0</v>
      </c>
      <c r="M23" s="45">
        <f t="shared" si="3"/>
        <v>212811755</v>
      </c>
      <c r="N23" s="102">
        <v>0</v>
      </c>
      <c r="O23" s="102">
        <v>0</v>
      </c>
      <c r="P23" s="102">
        <v>212811755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315" t="s">
        <v>1025</v>
      </c>
    </row>
    <row r="24" spans="1:22" ht="18">
      <c r="A24" s="6"/>
      <c r="B24" s="6" t="s">
        <v>244</v>
      </c>
      <c r="C24" s="49" t="s">
        <v>248</v>
      </c>
      <c r="D24" s="45">
        <f t="shared" si="2"/>
        <v>402582146</v>
      </c>
      <c r="E24" s="46">
        <v>0</v>
      </c>
      <c r="F24" s="46">
        <v>0</v>
      </c>
      <c r="G24" s="46">
        <f>425582146-23000000</f>
        <v>402582146</v>
      </c>
      <c r="H24" s="46">
        <v>0</v>
      </c>
      <c r="I24" s="46">
        <v>0</v>
      </c>
      <c r="J24" s="46">
        <v>0</v>
      </c>
      <c r="K24" s="46">
        <v>0</v>
      </c>
      <c r="L24" s="125">
        <v>0</v>
      </c>
      <c r="M24" s="45">
        <f t="shared" si="3"/>
        <v>384667881</v>
      </c>
      <c r="N24" s="102">
        <v>0</v>
      </c>
      <c r="O24" s="102">
        <v>0</v>
      </c>
      <c r="P24" s="102">
        <v>384667881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315" t="s">
        <v>1026</v>
      </c>
    </row>
    <row r="25" spans="1:22" ht="18">
      <c r="A25" s="6"/>
      <c r="B25" s="6" t="s">
        <v>245</v>
      </c>
      <c r="C25" s="48" t="s">
        <v>250</v>
      </c>
      <c r="D25" s="45">
        <f t="shared" si="2"/>
        <v>70700124</v>
      </c>
      <c r="E25" s="46">
        <v>0</v>
      </c>
      <c r="F25" s="46">
        <v>0</v>
      </c>
      <c r="G25" s="46">
        <f>47700124+23000000</f>
        <v>70700124</v>
      </c>
      <c r="H25" s="46">
        <v>0</v>
      </c>
      <c r="I25" s="46">
        <v>0</v>
      </c>
      <c r="J25" s="46">
        <v>0</v>
      </c>
      <c r="K25" s="46">
        <v>0</v>
      </c>
      <c r="L25" s="125">
        <v>0</v>
      </c>
      <c r="M25" s="45">
        <f t="shared" si="3"/>
        <v>70700124</v>
      </c>
      <c r="N25" s="102">
        <v>0</v>
      </c>
      <c r="O25" s="102">
        <v>0</v>
      </c>
      <c r="P25" s="102">
        <v>70700124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315" t="s">
        <v>1027</v>
      </c>
    </row>
    <row r="26" spans="1:22" ht="18">
      <c r="A26" s="6"/>
      <c r="B26" s="6" t="s">
        <v>247</v>
      </c>
      <c r="C26" s="48" t="s">
        <v>252</v>
      </c>
      <c r="D26" s="45">
        <f t="shared" si="2"/>
        <v>62580267</v>
      </c>
      <c r="E26" s="46">
        <v>0</v>
      </c>
      <c r="F26" s="46">
        <v>0</v>
      </c>
      <c r="G26" s="46">
        <v>62580267</v>
      </c>
      <c r="H26" s="46">
        <v>0</v>
      </c>
      <c r="I26" s="46">
        <v>0</v>
      </c>
      <c r="J26" s="46">
        <v>0</v>
      </c>
      <c r="K26" s="46">
        <v>0</v>
      </c>
      <c r="L26" s="125">
        <v>0</v>
      </c>
      <c r="M26" s="45">
        <f t="shared" si="3"/>
        <v>62580267</v>
      </c>
      <c r="N26" s="102">
        <v>0</v>
      </c>
      <c r="O26" s="102">
        <v>0</v>
      </c>
      <c r="P26" s="102">
        <v>62580267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315" t="s">
        <v>1028</v>
      </c>
    </row>
    <row r="27" spans="1:22" ht="18">
      <c r="A27" s="6"/>
      <c r="B27" s="6" t="s">
        <v>249</v>
      </c>
      <c r="C27" s="48" t="s">
        <v>254</v>
      </c>
      <c r="D27" s="45">
        <f t="shared" si="2"/>
        <v>68297455</v>
      </c>
      <c r="E27" s="46">
        <v>0</v>
      </c>
      <c r="F27" s="46">
        <v>0</v>
      </c>
      <c r="G27" s="46">
        <v>68297455</v>
      </c>
      <c r="H27" s="46">
        <v>0</v>
      </c>
      <c r="I27" s="46">
        <v>0</v>
      </c>
      <c r="J27" s="46">
        <v>0</v>
      </c>
      <c r="K27" s="46">
        <v>0</v>
      </c>
      <c r="L27" s="125">
        <v>0</v>
      </c>
      <c r="M27" s="45">
        <f t="shared" si="3"/>
        <v>60059455</v>
      </c>
      <c r="N27" s="102">
        <v>0</v>
      </c>
      <c r="O27" s="102">
        <v>0</v>
      </c>
      <c r="P27" s="102">
        <v>60059455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315" t="s">
        <v>1029</v>
      </c>
    </row>
    <row r="28" spans="1:22" ht="30">
      <c r="A28" s="6"/>
      <c r="B28" s="6" t="s">
        <v>251</v>
      </c>
      <c r="C28" s="48" t="s">
        <v>708</v>
      </c>
      <c r="D28" s="45">
        <f t="shared" si="2"/>
        <v>39074480</v>
      </c>
      <c r="E28" s="46">
        <v>0</v>
      </c>
      <c r="F28" s="46">
        <v>0</v>
      </c>
      <c r="G28" s="46">
        <v>39074480</v>
      </c>
      <c r="H28" s="46">
        <v>0</v>
      </c>
      <c r="I28" s="46">
        <v>0</v>
      </c>
      <c r="J28" s="46">
        <v>0</v>
      </c>
      <c r="K28" s="46">
        <v>0</v>
      </c>
      <c r="L28" s="125">
        <v>0</v>
      </c>
      <c r="M28" s="45">
        <f t="shared" si="3"/>
        <v>39074480</v>
      </c>
      <c r="N28" s="102">
        <v>0</v>
      </c>
      <c r="O28" s="102">
        <v>0</v>
      </c>
      <c r="P28" s="102">
        <v>39074480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315" t="s">
        <v>1030</v>
      </c>
    </row>
    <row r="29" spans="1:22" ht="30">
      <c r="A29" s="6"/>
      <c r="B29" s="6" t="s">
        <v>253</v>
      </c>
      <c r="C29" s="48" t="s">
        <v>257</v>
      </c>
      <c r="D29" s="45">
        <f t="shared" si="2"/>
        <v>7976786</v>
      </c>
      <c r="E29" s="46">
        <v>0</v>
      </c>
      <c r="F29" s="46">
        <v>0</v>
      </c>
      <c r="G29" s="46">
        <v>7976786</v>
      </c>
      <c r="H29" s="46">
        <v>0</v>
      </c>
      <c r="I29" s="46">
        <v>0</v>
      </c>
      <c r="J29" s="46">
        <v>0</v>
      </c>
      <c r="K29" s="46">
        <v>0</v>
      </c>
      <c r="L29" s="125">
        <v>0</v>
      </c>
      <c r="M29" s="45">
        <f t="shared" si="3"/>
        <v>7976786</v>
      </c>
      <c r="N29" s="102">
        <v>0</v>
      </c>
      <c r="O29" s="102">
        <v>0</v>
      </c>
      <c r="P29" s="102">
        <v>7976786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315" t="s">
        <v>1031</v>
      </c>
    </row>
    <row r="30" spans="1:22" ht="18">
      <c r="A30" s="6"/>
      <c r="B30" s="6" t="s">
        <v>255</v>
      </c>
      <c r="C30" s="48" t="s">
        <v>773</v>
      </c>
      <c r="D30" s="45">
        <f t="shared" si="2"/>
        <v>6000000</v>
      </c>
      <c r="E30" s="46">
        <v>0</v>
      </c>
      <c r="F30" s="46">
        <v>0</v>
      </c>
      <c r="G30" s="46">
        <v>6000000</v>
      </c>
      <c r="H30" s="46">
        <v>0</v>
      </c>
      <c r="I30" s="46">
        <v>0</v>
      </c>
      <c r="J30" s="46">
        <v>0</v>
      </c>
      <c r="K30" s="46">
        <v>0</v>
      </c>
      <c r="L30" s="125">
        <v>0</v>
      </c>
      <c r="M30" s="45">
        <f t="shared" si="3"/>
        <v>6000000</v>
      </c>
      <c r="N30" s="102">
        <v>0</v>
      </c>
      <c r="O30" s="102">
        <v>0</v>
      </c>
      <c r="P30" s="102">
        <v>3538232</v>
      </c>
      <c r="Q30" s="102">
        <v>0</v>
      </c>
      <c r="R30" s="102">
        <v>0</v>
      </c>
      <c r="S30" s="102">
        <v>2461768</v>
      </c>
      <c r="T30" s="102">
        <v>0</v>
      </c>
      <c r="U30" s="102">
        <v>0</v>
      </c>
      <c r="V30" s="315" t="s">
        <v>1032</v>
      </c>
    </row>
    <row r="31" spans="1:22" ht="30">
      <c r="A31" s="6"/>
      <c r="B31" s="6" t="s">
        <v>256</v>
      </c>
      <c r="C31" s="50" t="s">
        <v>259</v>
      </c>
      <c r="D31" s="45">
        <f t="shared" si="2"/>
        <v>821549000</v>
      </c>
      <c r="E31" s="46">
        <v>0</v>
      </c>
      <c r="F31" s="46">
        <v>0</v>
      </c>
      <c r="G31" s="46">
        <v>821549000</v>
      </c>
      <c r="H31" s="46">
        <v>0</v>
      </c>
      <c r="I31" s="46">
        <v>0</v>
      </c>
      <c r="J31" s="46">
        <v>0</v>
      </c>
      <c r="K31" s="46">
        <v>0</v>
      </c>
      <c r="L31" s="125">
        <v>0</v>
      </c>
      <c r="M31" s="45">
        <f t="shared" si="3"/>
        <v>622174000</v>
      </c>
      <c r="N31" s="102">
        <v>0</v>
      </c>
      <c r="O31" s="102">
        <v>0</v>
      </c>
      <c r="P31" s="102">
        <v>622174000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315" t="s">
        <v>1033</v>
      </c>
    </row>
    <row r="32" spans="1:22" ht="18">
      <c r="A32" s="6"/>
      <c r="B32" s="6" t="s">
        <v>258</v>
      </c>
      <c r="C32" s="50" t="s">
        <v>687</v>
      </c>
      <c r="D32" s="45">
        <f t="shared" si="2"/>
        <v>217796154</v>
      </c>
      <c r="E32" s="46">
        <v>0</v>
      </c>
      <c r="F32" s="46">
        <v>0</v>
      </c>
      <c r="G32" s="46">
        <v>217796154</v>
      </c>
      <c r="H32" s="46">
        <v>0</v>
      </c>
      <c r="I32" s="46">
        <v>0</v>
      </c>
      <c r="J32" s="46">
        <v>0</v>
      </c>
      <c r="K32" s="46">
        <v>0</v>
      </c>
      <c r="L32" s="125">
        <v>0</v>
      </c>
      <c r="M32" s="45">
        <f t="shared" si="3"/>
        <v>256916154</v>
      </c>
      <c r="N32" s="102">
        <v>0</v>
      </c>
      <c r="O32" s="102">
        <v>0</v>
      </c>
      <c r="P32" s="102">
        <v>256916154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315" t="s">
        <v>1034</v>
      </c>
    </row>
    <row r="33" spans="1:22" ht="18">
      <c r="A33" s="6" t="s">
        <v>52</v>
      </c>
      <c r="B33" s="6"/>
      <c r="C33" s="41" t="s">
        <v>41</v>
      </c>
      <c r="D33" s="42">
        <f>SUM(E33:L33)</f>
        <v>317527095</v>
      </c>
      <c r="E33" s="43">
        <f aca="true" t="shared" si="4" ref="E33:U33">SUM(E34:E49)</f>
        <v>0</v>
      </c>
      <c r="F33" s="43">
        <f t="shared" si="4"/>
        <v>0</v>
      </c>
      <c r="G33" s="43">
        <f t="shared" si="4"/>
        <v>314514585</v>
      </c>
      <c r="H33" s="43">
        <f t="shared" si="4"/>
        <v>0</v>
      </c>
      <c r="I33" s="43">
        <f t="shared" si="4"/>
        <v>0</v>
      </c>
      <c r="J33" s="43">
        <f t="shared" si="4"/>
        <v>3012510</v>
      </c>
      <c r="K33" s="43">
        <f t="shared" si="4"/>
        <v>0</v>
      </c>
      <c r="L33" s="124">
        <f t="shared" si="4"/>
        <v>0</v>
      </c>
      <c r="M33" s="42">
        <f t="shared" si="4"/>
        <v>274705654</v>
      </c>
      <c r="N33" s="124">
        <f t="shared" si="4"/>
        <v>0</v>
      </c>
      <c r="O33" s="124">
        <f t="shared" si="4"/>
        <v>0</v>
      </c>
      <c r="P33" s="124">
        <f t="shared" si="4"/>
        <v>272205532</v>
      </c>
      <c r="Q33" s="124">
        <f t="shared" si="4"/>
        <v>0</v>
      </c>
      <c r="R33" s="124">
        <f t="shared" si="4"/>
        <v>0</v>
      </c>
      <c r="S33" s="124">
        <f t="shared" si="4"/>
        <v>2500122</v>
      </c>
      <c r="T33" s="124">
        <f t="shared" si="4"/>
        <v>0</v>
      </c>
      <c r="U33" s="124">
        <f t="shared" si="4"/>
        <v>0</v>
      </c>
      <c r="V33" s="316"/>
    </row>
    <row r="34" spans="1:22" ht="18">
      <c r="A34" s="6"/>
      <c r="B34" s="6" t="s">
        <v>260</v>
      </c>
      <c r="C34" s="44" t="s">
        <v>261</v>
      </c>
      <c r="D34" s="45">
        <f aca="true" t="shared" si="5" ref="D34:D49">SUM(E34:L34)</f>
        <v>167724823</v>
      </c>
      <c r="E34" s="46">
        <v>0</v>
      </c>
      <c r="F34" s="46">
        <v>0</v>
      </c>
      <c r="G34" s="46">
        <v>167724823</v>
      </c>
      <c r="H34" s="46">
        <v>0</v>
      </c>
      <c r="I34" s="46">
        <v>0</v>
      </c>
      <c r="J34" s="46">
        <v>0</v>
      </c>
      <c r="K34" s="46">
        <v>0</v>
      </c>
      <c r="L34" s="125">
        <v>0</v>
      </c>
      <c r="M34" s="45">
        <f>SUM(N34:U34)</f>
        <v>165224823</v>
      </c>
      <c r="N34" s="102">
        <v>0</v>
      </c>
      <c r="O34" s="102">
        <v>0</v>
      </c>
      <c r="P34" s="102">
        <v>165224823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315" t="s">
        <v>1035</v>
      </c>
    </row>
    <row r="35" spans="1:22" ht="19.5" customHeight="1">
      <c r="A35" s="6"/>
      <c r="B35" s="6" t="s">
        <v>262</v>
      </c>
      <c r="C35" s="47" t="s">
        <v>263</v>
      </c>
      <c r="D35" s="45">
        <f t="shared" si="5"/>
        <v>9535942</v>
      </c>
      <c r="E35" s="46">
        <v>0</v>
      </c>
      <c r="F35" s="46">
        <v>0</v>
      </c>
      <c r="G35" s="46">
        <v>9535942</v>
      </c>
      <c r="H35" s="46">
        <v>0</v>
      </c>
      <c r="I35" s="46">
        <v>0</v>
      </c>
      <c r="J35" s="46">
        <v>0</v>
      </c>
      <c r="K35" s="46">
        <v>0</v>
      </c>
      <c r="L35" s="125">
        <v>0</v>
      </c>
      <c r="M35" s="45">
        <f aca="true" t="shared" si="6" ref="M35:M49">SUM(N35:U35)</f>
        <v>5535942</v>
      </c>
      <c r="N35" s="102">
        <v>0</v>
      </c>
      <c r="O35" s="102">
        <v>0</v>
      </c>
      <c r="P35" s="102">
        <v>4381131</v>
      </c>
      <c r="Q35" s="102">
        <v>0</v>
      </c>
      <c r="R35" s="102">
        <v>0</v>
      </c>
      <c r="S35" s="102">
        <v>1154811</v>
      </c>
      <c r="T35" s="102">
        <v>0</v>
      </c>
      <c r="U35" s="102">
        <v>0</v>
      </c>
      <c r="V35" s="315" t="s">
        <v>1036</v>
      </c>
    </row>
    <row r="36" spans="1:22" ht="19.5" customHeight="1">
      <c r="A36" s="6"/>
      <c r="B36" s="6" t="s">
        <v>264</v>
      </c>
      <c r="C36" s="47" t="s">
        <v>265</v>
      </c>
      <c r="D36" s="45">
        <f t="shared" si="5"/>
        <v>7755650</v>
      </c>
      <c r="E36" s="46">
        <v>0</v>
      </c>
      <c r="F36" s="46">
        <v>0</v>
      </c>
      <c r="G36" s="46">
        <v>7755650</v>
      </c>
      <c r="H36" s="46">
        <v>0</v>
      </c>
      <c r="I36" s="46">
        <v>0</v>
      </c>
      <c r="J36" s="46">
        <v>0</v>
      </c>
      <c r="K36" s="46">
        <v>0</v>
      </c>
      <c r="L36" s="125">
        <v>0</v>
      </c>
      <c r="M36" s="45">
        <f t="shared" si="6"/>
        <v>4755650</v>
      </c>
      <c r="N36" s="102">
        <v>0</v>
      </c>
      <c r="O36" s="102">
        <v>0</v>
      </c>
      <c r="P36" s="102">
        <v>4755650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315" t="s">
        <v>1037</v>
      </c>
    </row>
    <row r="37" spans="1:22" ht="30">
      <c r="A37" s="6"/>
      <c r="B37" s="6" t="s">
        <v>266</v>
      </c>
      <c r="C37" s="47" t="s">
        <v>267</v>
      </c>
      <c r="D37" s="45">
        <f t="shared" si="5"/>
        <v>5000000</v>
      </c>
      <c r="E37" s="46">
        <v>0</v>
      </c>
      <c r="F37" s="46">
        <v>0</v>
      </c>
      <c r="G37" s="46">
        <v>5000000</v>
      </c>
      <c r="H37" s="46">
        <v>0</v>
      </c>
      <c r="I37" s="46">
        <v>0</v>
      </c>
      <c r="J37" s="46">
        <v>0</v>
      </c>
      <c r="K37" s="46">
        <v>0</v>
      </c>
      <c r="L37" s="125">
        <v>0</v>
      </c>
      <c r="M37" s="45">
        <f t="shared" si="6"/>
        <v>2551893</v>
      </c>
      <c r="N37" s="102">
        <v>0</v>
      </c>
      <c r="O37" s="102">
        <v>0</v>
      </c>
      <c r="P37" s="102">
        <v>2551893</v>
      </c>
      <c r="Q37" s="102">
        <v>0</v>
      </c>
      <c r="R37" s="102">
        <v>0</v>
      </c>
      <c r="S37" s="102">
        <v>0</v>
      </c>
      <c r="T37" s="102">
        <v>0</v>
      </c>
      <c r="U37" s="102">
        <v>0</v>
      </c>
      <c r="V37" s="315" t="s">
        <v>1038</v>
      </c>
    </row>
    <row r="38" spans="1:22" ht="18">
      <c r="A38" s="6"/>
      <c r="B38" s="6" t="s">
        <v>268</v>
      </c>
      <c r="C38" s="48" t="s">
        <v>269</v>
      </c>
      <c r="D38" s="45">
        <f t="shared" si="5"/>
        <v>18016786</v>
      </c>
      <c r="E38" s="46">
        <v>0</v>
      </c>
      <c r="F38" s="46">
        <v>0</v>
      </c>
      <c r="G38" s="46">
        <v>18016786</v>
      </c>
      <c r="H38" s="46">
        <v>0</v>
      </c>
      <c r="I38" s="46">
        <v>0</v>
      </c>
      <c r="J38" s="46">
        <v>0</v>
      </c>
      <c r="K38" s="46">
        <v>0</v>
      </c>
      <c r="L38" s="125">
        <v>0</v>
      </c>
      <c r="M38" s="45">
        <f t="shared" si="6"/>
        <v>9817386</v>
      </c>
      <c r="N38" s="102">
        <v>0</v>
      </c>
      <c r="O38" s="102">
        <v>0</v>
      </c>
      <c r="P38" s="102">
        <v>9817386</v>
      </c>
      <c r="Q38" s="102">
        <v>0</v>
      </c>
      <c r="R38" s="102">
        <v>0</v>
      </c>
      <c r="S38" s="102">
        <v>0</v>
      </c>
      <c r="T38" s="102">
        <v>0</v>
      </c>
      <c r="U38" s="102">
        <v>0</v>
      </c>
      <c r="V38" s="315" t="s">
        <v>1039</v>
      </c>
    </row>
    <row r="39" spans="1:22" ht="19.5" customHeight="1">
      <c r="A39" s="6"/>
      <c r="B39" s="6" t="s">
        <v>270</v>
      </c>
      <c r="C39" s="47" t="s">
        <v>271</v>
      </c>
      <c r="D39" s="45">
        <f t="shared" si="5"/>
        <v>27517900</v>
      </c>
      <c r="E39" s="46">
        <v>0</v>
      </c>
      <c r="F39" s="46">
        <v>0</v>
      </c>
      <c r="G39" s="46">
        <v>27517900</v>
      </c>
      <c r="H39" s="46">
        <v>0</v>
      </c>
      <c r="I39" s="46">
        <v>0</v>
      </c>
      <c r="J39" s="46">
        <v>0</v>
      </c>
      <c r="K39" s="46">
        <v>0</v>
      </c>
      <c r="L39" s="125">
        <v>0</v>
      </c>
      <c r="M39" s="45">
        <f t="shared" si="6"/>
        <v>24549100</v>
      </c>
      <c r="N39" s="102">
        <v>0</v>
      </c>
      <c r="O39" s="102">
        <v>0</v>
      </c>
      <c r="P39" s="102">
        <v>24549100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315" t="s">
        <v>1040</v>
      </c>
    </row>
    <row r="40" spans="1:22" ht="19.5" customHeight="1">
      <c r="A40" s="6"/>
      <c r="B40" s="295" t="s">
        <v>272</v>
      </c>
      <c r="C40" s="296" t="s">
        <v>273</v>
      </c>
      <c r="D40" s="45">
        <f t="shared" si="5"/>
        <v>361828</v>
      </c>
      <c r="E40" s="46">
        <v>0</v>
      </c>
      <c r="F40" s="46">
        <v>0</v>
      </c>
      <c r="G40" s="46">
        <v>361828</v>
      </c>
      <c r="H40" s="46">
        <v>0</v>
      </c>
      <c r="I40" s="46">
        <v>0</v>
      </c>
      <c r="J40" s="46">
        <v>0</v>
      </c>
      <c r="K40" s="46">
        <v>0</v>
      </c>
      <c r="L40" s="125">
        <v>0</v>
      </c>
      <c r="M40" s="45">
        <f t="shared" si="6"/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102">
        <v>0</v>
      </c>
      <c r="T40" s="102">
        <v>0</v>
      </c>
      <c r="U40" s="102">
        <v>0</v>
      </c>
      <c r="V40" s="315" t="s">
        <v>1041</v>
      </c>
    </row>
    <row r="41" spans="1:22" ht="18">
      <c r="A41" s="6"/>
      <c r="B41" s="6" t="s">
        <v>274</v>
      </c>
      <c r="C41" s="47" t="s">
        <v>275</v>
      </c>
      <c r="D41" s="45">
        <f t="shared" si="5"/>
        <v>11934010</v>
      </c>
      <c r="E41" s="46">
        <v>0</v>
      </c>
      <c r="F41" s="46">
        <v>0</v>
      </c>
      <c r="G41" s="46">
        <v>11559360</v>
      </c>
      <c r="H41" s="46">
        <v>0</v>
      </c>
      <c r="I41" s="46">
        <v>0</v>
      </c>
      <c r="J41" s="46">
        <v>374650</v>
      </c>
      <c r="K41" s="46">
        <v>0</v>
      </c>
      <c r="L41" s="125">
        <v>0</v>
      </c>
      <c r="M41" s="45">
        <f t="shared" si="6"/>
        <v>11934010</v>
      </c>
      <c r="N41" s="102">
        <v>0</v>
      </c>
      <c r="O41" s="102">
        <v>0</v>
      </c>
      <c r="P41" s="102">
        <v>11559360</v>
      </c>
      <c r="Q41" s="102">
        <v>0</v>
      </c>
      <c r="R41" s="102">
        <v>0</v>
      </c>
      <c r="S41" s="102">
        <v>374650</v>
      </c>
      <c r="T41" s="102">
        <v>0</v>
      </c>
      <c r="U41" s="102">
        <v>0</v>
      </c>
      <c r="V41" s="315" t="s">
        <v>1042</v>
      </c>
    </row>
    <row r="42" spans="1:22" ht="30">
      <c r="A42" s="6"/>
      <c r="B42" s="6" t="s">
        <v>276</v>
      </c>
      <c r="C42" s="47" t="s">
        <v>277</v>
      </c>
      <c r="D42" s="45">
        <f t="shared" si="5"/>
        <v>5000000</v>
      </c>
      <c r="E42" s="46">
        <v>0</v>
      </c>
      <c r="F42" s="46">
        <v>0</v>
      </c>
      <c r="G42" s="46">
        <v>5000000</v>
      </c>
      <c r="H42" s="46">
        <v>0</v>
      </c>
      <c r="I42" s="46">
        <v>0</v>
      </c>
      <c r="J42" s="46">
        <v>0</v>
      </c>
      <c r="K42" s="46">
        <v>0</v>
      </c>
      <c r="L42" s="125">
        <v>0</v>
      </c>
      <c r="M42" s="45">
        <f t="shared" si="6"/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v>0</v>
      </c>
      <c r="S42" s="102">
        <v>0</v>
      </c>
      <c r="T42" s="102">
        <v>0</v>
      </c>
      <c r="U42" s="102">
        <v>0</v>
      </c>
      <c r="V42" s="315" t="s">
        <v>1043</v>
      </c>
    </row>
    <row r="43" spans="1:22" ht="30">
      <c r="A43" s="6"/>
      <c r="B43" s="295" t="s">
        <v>278</v>
      </c>
      <c r="C43" s="296" t="s">
        <v>279</v>
      </c>
      <c r="D43" s="45">
        <f t="shared" si="5"/>
        <v>2637860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2637860</v>
      </c>
      <c r="K43" s="46">
        <v>0</v>
      </c>
      <c r="L43" s="125">
        <v>0</v>
      </c>
      <c r="M43" s="45">
        <f t="shared" si="6"/>
        <v>0</v>
      </c>
      <c r="N43" s="102">
        <v>0</v>
      </c>
      <c r="O43" s="102">
        <v>0</v>
      </c>
      <c r="P43" s="102"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315" t="s">
        <v>1044</v>
      </c>
    </row>
    <row r="44" spans="1:22" ht="30">
      <c r="A44" s="6"/>
      <c r="B44" s="6" t="s">
        <v>280</v>
      </c>
      <c r="C44" s="47" t="s">
        <v>281</v>
      </c>
      <c r="D44" s="45">
        <f t="shared" si="5"/>
        <v>10000000</v>
      </c>
      <c r="E44" s="46">
        <v>0</v>
      </c>
      <c r="F44" s="46">
        <v>0</v>
      </c>
      <c r="G44" s="46">
        <v>10000000</v>
      </c>
      <c r="H44" s="46">
        <v>0</v>
      </c>
      <c r="I44" s="46">
        <v>0</v>
      </c>
      <c r="J44" s="46">
        <v>0</v>
      </c>
      <c r="K44" s="46">
        <v>0</v>
      </c>
      <c r="L44" s="125">
        <v>0</v>
      </c>
      <c r="M44" s="45">
        <f t="shared" si="6"/>
        <v>5000000</v>
      </c>
      <c r="N44" s="102">
        <v>0</v>
      </c>
      <c r="O44" s="102">
        <v>0</v>
      </c>
      <c r="P44" s="102">
        <v>5000000</v>
      </c>
      <c r="Q44" s="102">
        <v>0</v>
      </c>
      <c r="R44" s="102">
        <v>0</v>
      </c>
      <c r="S44" s="102">
        <v>0</v>
      </c>
      <c r="T44" s="102">
        <v>0</v>
      </c>
      <c r="U44" s="102">
        <v>0</v>
      </c>
      <c r="V44" s="315" t="s">
        <v>1045</v>
      </c>
    </row>
    <row r="45" spans="1:22" ht="18">
      <c r="A45" s="6"/>
      <c r="B45" s="6" t="s">
        <v>282</v>
      </c>
      <c r="C45" s="47" t="s">
        <v>283</v>
      </c>
      <c r="D45" s="45">
        <f t="shared" si="5"/>
        <v>5000000</v>
      </c>
      <c r="E45" s="46">
        <v>0</v>
      </c>
      <c r="F45" s="46">
        <v>0</v>
      </c>
      <c r="G45" s="46">
        <v>5000000</v>
      </c>
      <c r="H45" s="46">
        <v>0</v>
      </c>
      <c r="I45" s="46">
        <v>0</v>
      </c>
      <c r="J45" s="46">
        <v>0</v>
      </c>
      <c r="K45" s="46">
        <v>0</v>
      </c>
      <c r="L45" s="125">
        <v>0</v>
      </c>
      <c r="M45" s="45">
        <f t="shared" si="6"/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102">
        <v>0</v>
      </c>
      <c r="T45" s="102">
        <v>0</v>
      </c>
      <c r="U45" s="102">
        <v>0</v>
      </c>
      <c r="V45" s="315" t="s">
        <v>1046</v>
      </c>
    </row>
    <row r="46" spans="1:22" ht="18">
      <c r="A46" s="6"/>
      <c r="B46" s="295" t="s">
        <v>284</v>
      </c>
      <c r="C46" s="297" t="s">
        <v>285</v>
      </c>
      <c r="D46" s="52">
        <f t="shared" si="5"/>
        <v>61616</v>
      </c>
      <c r="E46" s="46">
        <v>0</v>
      </c>
      <c r="F46" s="46">
        <v>0</v>
      </c>
      <c r="G46" s="46">
        <v>61616</v>
      </c>
      <c r="H46" s="53">
        <v>0</v>
      </c>
      <c r="I46" s="46">
        <v>0</v>
      </c>
      <c r="J46" s="46">
        <v>0</v>
      </c>
      <c r="K46" s="46">
        <v>0</v>
      </c>
      <c r="L46" s="125">
        <v>0</v>
      </c>
      <c r="M46" s="52">
        <f t="shared" si="6"/>
        <v>0</v>
      </c>
      <c r="N46" s="102">
        <v>0</v>
      </c>
      <c r="O46" s="102">
        <v>0</v>
      </c>
      <c r="P46" s="102">
        <v>0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315" t="s">
        <v>1047</v>
      </c>
    </row>
    <row r="47" spans="1:22" ht="30">
      <c r="A47" s="6"/>
      <c r="B47" s="6" t="s">
        <v>771</v>
      </c>
      <c r="C47" s="9" t="s">
        <v>772</v>
      </c>
      <c r="D47" s="52">
        <f t="shared" si="5"/>
        <v>3000000</v>
      </c>
      <c r="E47" s="46">
        <v>0</v>
      </c>
      <c r="F47" s="46">
        <v>0</v>
      </c>
      <c r="G47" s="46">
        <v>3000000</v>
      </c>
      <c r="H47" s="53">
        <v>0</v>
      </c>
      <c r="I47" s="46">
        <v>0</v>
      </c>
      <c r="J47" s="46">
        <v>0</v>
      </c>
      <c r="K47" s="46">
        <v>0</v>
      </c>
      <c r="L47" s="125">
        <v>0</v>
      </c>
      <c r="M47" s="52">
        <f t="shared" si="6"/>
        <v>1500000</v>
      </c>
      <c r="N47" s="102">
        <v>0</v>
      </c>
      <c r="O47" s="102">
        <v>0</v>
      </c>
      <c r="P47" s="102">
        <v>529339</v>
      </c>
      <c r="Q47" s="102">
        <v>0</v>
      </c>
      <c r="R47" s="102">
        <v>0</v>
      </c>
      <c r="S47" s="102">
        <v>970661</v>
      </c>
      <c r="T47" s="102">
        <v>0</v>
      </c>
      <c r="U47" s="102">
        <v>0</v>
      </c>
      <c r="V47" s="315" t="s">
        <v>1048</v>
      </c>
    </row>
    <row r="48" spans="1:22" ht="30">
      <c r="A48" s="6"/>
      <c r="B48" s="6" t="s">
        <v>977</v>
      </c>
      <c r="C48" s="9" t="s">
        <v>980</v>
      </c>
      <c r="D48" s="52">
        <f>SUM(E48:L48)</f>
        <v>40980680</v>
      </c>
      <c r="E48" s="46">
        <v>0</v>
      </c>
      <c r="F48" s="46">
        <v>0</v>
      </c>
      <c r="G48" s="46">
        <v>40980680</v>
      </c>
      <c r="H48" s="53">
        <v>0</v>
      </c>
      <c r="I48" s="46">
        <v>0</v>
      </c>
      <c r="J48" s="46">
        <v>0</v>
      </c>
      <c r="K48" s="46">
        <v>0</v>
      </c>
      <c r="L48" s="125">
        <v>0</v>
      </c>
      <c r="M48" s="52">
        <f t="shared" si="6"/>
        <v>40836850</v>
      </c>
      <c r="N48" s="102">
        <v>0</v>
      </c>
      <c r="O48" s="102">
        <v>0</v>
      </c>
      <c r="P48" s="102">
        <v>40836850</v>
      </c>
      <c r="Q48" s="102">
        <v>0</v>
      </c>
      <c r="R48" s="102">
        <v>0</v>
      </c>
      <c r="S48" s="102">
        <v>0</v>
      </c>
      <c r="T48" s="102">
        <v>0</v>
      </c>
      <c r="U48" s="102">
        <v>0</v>
      </c>
      <c r="V48" s="315" t="s">
        <v>1049</v>
      </c>
    </row>
    <row r="49" spans="1:22" ht="30">
      <c r="A49" s="6"/>
      <c r="B49" s="6" t="s">
        <v>979</v>
      </c>
      <c r="C49" s="9" t="s">
        <v>978</v>
      </c>
      <c r="D49" s="52">
        <f t="shared" si="5"/>
        <v>3000000</v>
      </c>
      <c r="E49" s="46">
        <v>0</v>
      </c>
      <c r="F49" s="46">
        <v>0</v>
      </c>
      <c r="G49" s="46">
        <v>3000000</v>
      </c>
      <c r="H49" s="53">
        <v>0</v>
      </c>
      <c r="I49" s="46">
        <v>0</v>
      </c>
      <c r="J49" s="46">
        <v>0</v>
      </c>
      <c r="K49" s="46">
        <v>0</v>
      </c>
      <c r="L49" s="125">
        <v>0</v>
      </c>
      <c r="M49" s="52">
        <f t="shared" si="6"/>
        <v>3000000</v>
      </c>
      <c r="N49" s="102">
        <v>0</v>
      </c>
      <c r="O49" s="102">
        <v>0</v>
      </c>
      <c r="P49" s="102">
        <v>3000000</v>
      </c>
      <c r="Q49" s="102">
        <v>0</v>
      </c>
      <c r="R49" s="102">
        <v>0</v>
      </c>
      <c r="S49" s="102">
        <v>0</v>
      </c>
      <c r="T49" s="102">
        <v>0</v>
      </c>
      <c r="U49" s="102">
        <v>0</v>
      </c>
      <c r="V49" s="317">
        <v>52316</v>
      </c>
    </row>
    <row r="50" spans="1:22" ht="18">
      <c r="A50" s="6" t="s">
        <v>53</v>
      </c>
      <c r="B50" s="6"/>
      <c r="C50" s="41" t="s">
        <v>43</v>
      </c>
      <c r="D50" s="42">
        <f>SUM(E50:L50)</f>
        <v>0</v>
      </c>
      <c r="E50" s="43">
        <f aca="true" t="shared" si="7" ref="E50:U50">SUM(E51)</f>
        <v>0</v>
      </c>
      <c r="F50" s="43">
        <f t="shared" si="7"/>
        <v>0</v>
      </c>
      <c r="G50" s="43">
        <f t="shared" si="7"/>
        <v>0</v>
      </c>
      <c r="H50" s="43">
        <f t="shared" si="7"/>
        <v>0</v>
      </c>
      <c r="I50" s="43">
        <f t="shared" si="7"/>
        <v>0</v>
      </c>
      <c r="J50" s="43">
        <f t="shared" si="7"/>
        <v>0</v>
      </c>
      <c r="K50" s="43">
        <f t="shared" si="7"/>
        <v>0</v>
      </c>
      <c r="L50" s="124">
        <f t="shared" si="7"/>
        <v>0</v>
      </c>
      <c r="M50" s="42">
        <f t="shared" si="7"/>
        <v>0</v>
      </c>
      <c r="N50" s="124">
        <f t="shared" si="7"/>
        <v>0</v>
      </c>
      <c r="O50" s="124">
        <f t="shared" si="7"/>
        <v>0</v>
      </c>
      <c r="P50" s="124">
        <f t="shared" si="7"/>
        <v>0</v>
      </c>
      <c r="Q50" s="124">
        <f t="shared" si="7"/>
        <v>0</v>
      </c>
      <c r="R50" s="124">
        <f t="shared" si="7"/>
        <v>0</v>
      </c>
      <c r="S50" s="124">
        <f t="shared" si="7"/>
        <v>0</v>
      </c>
      <c r="T50" s="124">
        <f t="shared" si="7"/>
        <v>0</v>
      </c>
      <c r="U50" s="124">
        <f t="shared" si="7"/>
        <v>0</v>
      </c>
      <c r="V50" s="316"/>
    </row>
    <row r="51" spans="1:22" ht="18">
      <c r="A51" s="6"/>
      <c r="B51" s="6"/>
      <c r="C51" s="9"/>
      <c r="D51" s="45">
        <f>SUM(E51:L51)</f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126">
        <v>0</v>
      </c>
      <c r="M51" s="45">
        <f>SUM(N51:U51)</f>
        <v>0</v>
      </c>
      <c r="N51" s="105"/>
      <c r="O51" s="105"/>
      <c r="P51" s="105"/>
      <c r="Q51" s="105"/>
      <c r="R51" s="105"/>
      <c r="S51" s="105"/>
      <c r="T51" s="105"/>
      <c r="U51" s="105"/>
      <c r="V51" s="318"/>
    </row>
    <row r="52" spans="1:22" ht="30" customHeight="1">
      <c r="A52" s="454" t="s">
        <v>286</v>
      </c>
      <c r="B52" s="454"/>
      <c r="C52" s="454"/>
      <c r="D52" s="42">
        <f>SUM(E52:L52)</f>
        <v>3100694589</v>
      </c>
      <c r="E52" s="43">
        <f aca="true" t="shared" si="8" ref="E52:U52">E10+E33+E50</f>
        <v>0</v>
      </c>
      <c r="F52" s="43">
        <f t="shared" si="8"/>
        <v>0</v>
      </c>
      <c r="G52" s="43">
        <f t="shared" si="8"/>
        <v>3006307110</v>
      </c>
      <c r="H52" s="43">
        <f t="shared" si="8"/>
        <v>0</v>
      </c>
      <c r="I52" s="43">
        <f t="shared" si="8"/>
        <v>91374969</v>
      </c>
      <c r="J52" s="43">
        <f t="shared" si="8"/>
        <v>3012510</v>
      </c>
      <c r="K52" s="43">
        <f t="shared" si="8"/>
        <v>0</v>
      </c>
      <c r="L52" s="124">
        <f t="shared" si="8"/>
        <v>0</v>
      </c>
      <c r="M52" s="42">
        <f t="shared" si="8"/>
        <v>2863925452</v>
      </c>
      <c r="N52" s="124">
        <f t="shared" si="8"/>
        <v>0</v>
      </c>
      <c r="O52" s="124">
        <f t="shared" si="8"/>
        <v>0</v>
      </c>
      <c r="P52" s="124">
        <f t="shared" si="8"/>
        <v>2767588593</v>
      </c>
      <c r="Q52" s="124">
        <f t="shared" si="8"/>
        <v>0</v>
      </c>
      <c r="R52" s="124">
        <f t="shared" si="8"/>
        <v>91374969</v>
      </c>
      <c r="S52" s="124">
        <f t="shared" si="8"/>
        <v>4961890</v>
      </c>
      <c r="T52" s="124">
        <f t="shared" si="8"/>
        <v>0</v>
      </c>
      <c r="U52" s="124">
        <f t="shared" si="8"/>
        <v>0</v>
      </c>
      <c r="V52" s="318"/>
    </row>
    <row r="53" s="83" customFormat="1" ht="12.75"/>
    <row r="54" s="83" customFormat="1" ht="12.75"/>
    <row r="55" s="83" customFormat="1" ht="12.75"/>
    <row r="56" s="83" customFormat="1" ht="12.75"/>
    <row r="57" s="83" customFormat="1" ht="12.75"/>
    <row r="58" s="83" customFormat="1" ht="12.75"/>
    <row r="59" s="83" customFormat="1" ht="12.75"/>
    <row r="60" s="83" customFormat="1" ht="12.75"/>
  </sheetData>
  <sheetProtection selectLockedCells="1" selectUnlockedCells="1"/>
  <mergeCells count="17">
    <mergeCell ref="V7:V10"/>
    <mergeCell ref="A1:V1"/>
    <mergeCell ref="A3:V3"/>
    <mergeCell ref="A4:V4"/>
    <mergeCell ref="M7:M9"/>
    <mergeCell ref="N7:U7"/>
    <mergeCell ref="N8:R8"/>
    <mergeCell ref="S8:U8"/>
    <mergeCell ref="A2:V2"/>
    <mergeCell ref="A52:C52"/>
    <mergeCell ref="C7:C9"/>
    <mergeCell ref="D7:D9"/>
    <mergeCell ref="E7:L7"/>
    <mergeCell ref="E8:I8"/>
    <mergeCell ref="J8:L8"/>
    <mergeCell ref="A7:A9"/>
    <mergeCell ref="B7:B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52"/>
  <sheetViews>
    <sheetView view="pageBreakPreview" zoomScale="70" zoomScaleNormal="74" zoomScaleSheetLayoutView="70" zoomScalePageLayoutView="0" workbookViewId="0" topLeftCell="A1">
      <pane ySplit="10" topLeftCell="A11" activePane="bottomLeft" state="frozen"/>
      <selection pane="topLeft" activeCell="A1" sqref="A1"/>
      <selection pane="bottomLeft" activeCell="A1" sqref="A1:V1"/>
    </sheetView>
  </sheetViews>
  <sheetFormatPr defaultColWidth="9.140625" defaultRowHeight="12.75"/>
  <cols>
    <col min="1" max="1" width="5.140625" style="38" customWidth="1"/>
    <col min="2" max="2" width="9.8515625" style="38" customWidth="1"/>
    <col min="3" max="3" width="72.8515625" style="38" customWidth="1"/>
    <col min="4" max="4" width="23.57421875" style="38" customWidth="1"/>
    <col min="5" max="5" width="15.140625" style="38" customWidth="1"/>
    <col min="6" max="6" width="14.57421875" style="38" customWidth="1"/>
    <col min="7" max="7" width="21.7109375" style="38" customWidth="1"/>
    <col min="8" max="8" width="17.140625" style="38" customWidth="1"/>
    <col min="9" max="9" width="21.28125" style="38" customWidth="1"/>
    <col min="10" max="10" width="20.28125" style="38" customWidth="1"/>
    <col min="11" max="11" width="17.28125" style="38" customWidth="1"/>
    <col min="12" max="12" width="14.57421875" style="38" customWidth="1"/>
    <col min="13" max="13" width="25.140625" style="38" customWidth="1"/>
    <col min="14" max="14" width="22.421875" style="38" customWidth="1"/>
    <col min="15" max="15" width="14.57421875" style="38" customWidth="1"/>
    <col min="16" max="16" width="22.28125" style="38" customWidth="1"/>
    <col min="17" max="17" width="14.57421875" style="38" customWidth="1"/>
    <col min="18" max="18" width="20.00390625" style="38" customWidth="1"/>
    <col min="19" max="19" width="17.8515625" style="38" customWidth="1"/>
    <col min="20" max="21" width="14.57421875" style="38" customWidth="1"/>
    <col min="22" max="22" width="21.8515625" style="38" customWidth="1"/>
    <col min="23" max="16384" width="9.140625" style="38" customWidth="1"/>
  </cols>
  <sheetData>
    <row r="1" spans="1:22" ht="22.5" customHeight="1">
      <c r="A1" s="460" t="s">
        <v>1540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</row>
    <row r="2" spans="1:22" ht="26.25" customHeight="1">
      <c r="A2" s="466" t="s">
        <v>1512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</row>
    <row r="3" spans="1:22" ht="18" customHeight="1">
      <c r="A3" s="412" t="s">
        <v>287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</row>
    <row r="4" spans="1:22" ht="15" customHeight="1">
      <c r="A4" s="461" t="s">
        <v>288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</row>
    <row r="5" spans="1:22" ht="14.2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18"/>
      <c r="M5" s="18"/>
      <c r="N5" s="18"/>
      <c r="O5" s="18"/>
      <c r="P5" s="18"/>
      <c r="Q5" s="18"/>
      <c r="R5" s="18"/>
      <c r="S5" s="18"/>
      <c r="T5" s="18"/>
      <c r="U5" s="18"/>
      <c r="V5" s="381" t="s">
        <v>0</v>
      </c>
    </row>
    <row r="6" spans="1:22" ht="14.25">
      <c r="A6" s="96" t="s">
        <v>1</v>
      </c>
      <c r="B6" s="96" t="s">
        <v>2</v>
      </c>
      <c r="C6" s="96" t="s">
        <v>3</v>
      </c>
      <c r="D6" s="96" t="s">
        <v>4</v>
      </c>
      <c r="E6" s="96" t="s">
        <v>5</v>
      </c>
      <c r="F6" s="96" t="s">
        <v>6</v>
      </c>
      <c r="G6" s="96" t="s">
        <v>7</v>
      </c>
      <c r="H6" s="96" t="s">
        <v>8</v>
      </c>
      <c r="I6" s="96" t="s">
        <v>9</v>
      </c>
      <c r="J6" s="96" t="s">
        <v>10</v>
      </c>
      <c r="K6" s="96" t="s">
        <v>11</v>
      </c>
      <c r="L6" s="119" t="s">
        <v>12</v>
      </c>
      <c r="M6" s="96" t="s">
        <v>13</v>
      </c>
      <c r="N6" s="96" t="s">
        <v>14</v>
      </c>
      <c r="O6" s="96" t="s">
        <v>15</v>
      </c>
      <c r="P6" s="96" t="s">
        <v>16</v>
      </c>
      <c r="Q6" s="96" t="s">
        <v>17</v>
      </c>
      <c r="R6" s="96" t="s">
        <v>18</v>
      </c>
      <c r="S6" s="96" t="s">
        <v>19</v>
      </c>
      <c r="T6" s="96" t="s">
        <v>20</v>
      </c>
      <c r="U6" s="119" t="s">
        <v>21</v>
      </c>
      <c r="V6" s="127" t="s">
        <v>179</v>
      </c>
    </row>
    <row r="7" spans="1:22" ht="12.75" customHeight="1">
      <c r="A7" s="468" t="s">
        <v>23</v>
      </c>
      <c r="B7" s="468" t="s">
        <v>183</v>
      </c>
      <c r="C7" s="462" t="s">
        <v>24</v>
      </c>
      <c r="D7" s="462" t="s">
        <v>1262</v>
      </c>
      <c r="E7" s="462" t="s">
        <v>25</v>
      </c>
      <c r="F7" s="462"/>
      <c r="G7" s="462"/>
      <c r="H7" s="462"/>
      <c r="I7" s="462"/>
      <c r="J7" s="462"/>
      <c r="K7" s="462"/>
      <c r="L7" s="462"/>
      <c r="M7" s="462" t="s">
        <v>1467</v>
      </c>
      <c r="N7" s="462" t="s">
        <v>1466</v>
      </c>
      <c r="O7" s="462"/>
      <c r="P7" s="462"/>
      <c r="Q7" s="462"/>
      <c r="R7" s="462"/>
      <c r="S7" s="462"/>
      <c r="T7" s="462"/>
      <c r="U7" s="462"/>
      <c r="V7" s="469" t="s">
        <v>1012</v>
      </c>
    </row>
    <row r="8" spans="1:22" ht="12.75" customHeight="1">
      <c r="A8" s="468"/>
      <c r="B8" s="468"/>
      <c r="C8" s="462"/>
      <c r="D8" s="462"/>
      <c r="E8" s="464" t="s">
        <v>26</v>
      </c>
      <c r="F8" s="464"/>
      <c r="G8" s="464"/>
      <c r="H8" s="464"/>
      <c r="I8" s="464"/>
      <c r="J8" s="464" t="s">
        <v>27</v>
      </c>
      <c r="K8" s="464"/>
      <c r="L8" s="464"/>
      <c r="M8" s="462"/>
      <c r="N8" s="464" t="s">
        <v>26</v>
      </c>
      <c r="O8" s="464"/>
      <c r="P8" s="464"/>
      <c r="Q8" s="464"/>
      <c r="R8" s="464"/>
      <c r="S8" s="464" t="s">
        <v>27</v>
      </c>
      <c r="T8" s="464"/>
      <c r="U8" s="464"/>
      <c r="V8" s="469"/>
    </row>
    <row r="9" spans="1:22" ht="98.25" customHeight="1">
      <c r="A9" s="468"/>
      <c r="B9" s="468"/>
      <c r="C9" s="462"/>
      <c r="D9" s="462"/>
      <c r="E9" s="97" t="s">
        <v>28</v>
      </c>
      <c r="F9" s="97" t="s">
        <v>29</v>
      </c>
      <c r="G9" s="97" t="s">
        <v>30</v>
      </c>
      <c r="H9" s="97" t="s">
        <v>31</v>
      </c>
      <c r="I9" s="97" t="s">
        <v>32</v>
      </c>
      <c r="J9" s="97" t="s">
        <v>33</v>
      </c>
      <c r="K9" s="97" t="s">
        <v>34</v>
      </c>
      <c r="L9" s="97" t="s">
        <v>35</v>
      </c>
      <c r="M9" s="462"/>
      <c r="N9" s="97" t="s">
        <v>28</v>
      </c>
      <c r="O9" s="97" t="s">
        <v>29</v>
      </c>
      <c r="P9" s="97" t="s">
        <v>30</v>
      </c>
      <c r="Q9" s="97" t="s">
        <v>31</v>
      </c>
      <c r="R9" s="97" t="s">
        <v>32</v>
      </c>
      <c r="S9" s="97" t="s">
        <v>33</v>
      </c>
      <c r="T9" s="97" t="s">
        <v>34</v>
      </c>
      <c r="U9" s="97" t="s">
        <v>35</v>
      </c>
      <c r="V9" s="469"/>
    </row>
    <row r="10" spans="1:22" ht="18">
      <c r="A10" s="91" t="s">
        <v>56</v>
      </c>
      <c r="B10" s="91"/>
      <c r="C10" s="92" t="s">
        <v>39</v>
      </c>
      <c r="D10" s="93">
        <f>SUM(E10:L10)</f>
        <v>1713913347</v>
      </c>
      <c r="E10" s="94">
        <f aca="true" t="shared" si="0" ref="E10:U10">SUM(E11:E24)</f>
        <v>0</v>
      </c>
      <c r="F10" s="94">
        <f t="shared" si="0"/>
        <v>0</v>
      </c>
      <c r="G10" s="94">
        <f t="shared" si="0"/>
        <v>1675913347</v>
      </c>
      <c r="H10" s="94">
        <f t="shared" si="0"/>
        <v>0</v>
      </c>
      <c r="I10" s="94">
        <f t="shared" si="0"/>
        <v>0</v>
      </c>
      <c r="J10" s="94">
        <f t="shared" si="0"/>
        <v>38000000</v>
      </c>
      <c r="K10" s="94">
        <f t="shared" si="0"/>
        <v>0</v>
      </c>
      <c r="L10" s="94">
        <f t="shared" si="0"/>
        <v>0</v>
      </c>
      <c r="M10" s="93">
        <f t="shared" si="0"/>
        <v>1685788846</v>
      </c>
      <c r="N10" s="94">
        <f>SUM(N11:N24)</f>
        <v>0</v>
      </c>
      <c r="O10" s="94">
        <f t="shared" si="0"/>
        <v>0</v>
      </c>
      <c r="P10" s="94">
        <f t="shared" si="0"/>
        <v>1646572632</v>
      </c>
      <c r="Q10" s="94">
        <f t="shared" si="0"/>
        <v>0</v>
      </c>
      <c r="R10" s="94">
        <f t="shared" si="0"/>
        <v>0</v>
      </c>
      <c r="S10" s="94">
        <f t="shared" si="0"/>
        <v>39216214</v>
      </c>
      <c r="T10" s="94">
        <f t="shared" si="0"/>
        <v>0</v>
      </c>
      <c r="U10" s="94">
        <f t="shared" si="0"/>
        <v>0</v>
      </c>
      <c r="V10" s="469"/>
    </row>
    <row r="11" spans="1:22" s="89" customFormat="1" ht="18">
      <c r="A11" s="98"/>
      <c r="B11" s="98" t="s">
        <v>289</v>
      </c>
      <c r="C11" s="99" t="s">
        <v>1368</v>
      </c>
      <c r="D11" s="101">
        <f aca="true" t="shared" si="1" ref="D11:D24">SUM(E11:L11)</f>
        <v>1269132389</v>
      </c>
      <c r="E11" s="102">
        <v>0</v>
      </c>
      <c r="F11" s="102">
        <v>0</v>
      </c>
      <c r="G11" s="102">
        <v>1269132389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1">
        <f>SUM(N11:U11)</f>
        <v>1244632389</v>
      </c>
      <c r="N11" s="102">
        <v>0</v>
      </c>
      <c r="O11" s="102">
        <v>0</v>
      </c>
      <c r="P11" s="102">
        <v>1244632389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27" t="s">
        <v>1050</v>
      </c>
    </row>
    <row r="12" spans="1:22" s="89" customFormat="1" ht="18">
      <c r="A12" s="98"/>
      <c r="B12" s="98" t="s">
        <v>290</v>
      </c>
      <c r="C12" s="99" t="s">
        <v>1427</v>
      </c>
      <c r="D12" s="101">
        <f t="shared" si="1"/>
        <v>2500000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2500000</v>
      </c>
      <c r="K12" s="102">
        <v>0</v>
      </c>
      <c r="L12" s="102">
        <v>0</v>
      </c>
      <c r="M12" s="101">
        <f aca="true" t="shared" si="2" ref="M12:M51">SUM(N12:U12)</f>
        <v>2000000</v>
      </c>
      <c r="N12" s="102">
        <v>0</v>
      </c>
      <c r="O12" s="102">
        <v>0</v>
      </c>
      <c r="P12" s="102">
        <v>254000</v>
      </c>
      <c r="Q12" s="102">
        <v>0</v>
      </c>
      <c r="R12" s="102">
        <v>0</v>
      </c>
      <c r="S12" s="102">
        <v>1746000</v>
      </c>
      <c r="T12" s="102">
        <v>0</v>
      </c>
      <c r="U12" s="102">
        <v>0</v>
      </c>
      <c r="V12" s="127" t="s">
        <v>1051</v>
      </c>
    </row>
    <row r="13" spans="1:22" s="89" customFormat="1" ht="18">
      <c r="A13" s="98"/>
      <c r="B13" s="98" t="s">
        <v>291</v>
      </c>
      <c r="C13" s="99" t="s">
        <v>292</v>
      </c>
      <c r="D13" s="101">
        <f t="shared" si="1"/>
        <v>26571648</v>
      </c>
      <c r="E13" s="102">
        <v>0</v>
      </c>
      <c r="F13" s="102">
        <v>0</v>
      </c>
      <c r="G13" s="102">
        <v>26571648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1">
        <f t="shared" si="2"/>
        <v>25959648</v>
      </c>
      <c r="N13" s="102">
        <v>0</v>
      </c>
      <c r="O13" s="102">
        <v>0</v>
      </c>
      <c r="P13" s="102">
        <v>25959648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27" t="s">
        <v>1052</v>
      </c>
    </row>
    <row r="14" spans="1:22" s="89" customFormat="1" ht="18">
      <c r="A14" s="98"/>
      <c r="B14" s="98" t="s">
        <v>293</v>
      </c>
      <c r="C14" s="99" t="s">
        <v>294</v>
      </c>
      <c r="D14" s="101">
        <f t="shared" si="1"/>
        <v>30000000</v>
      </c>
      <c r="E14" s="102">
        <v>0</v>
      </c>
      <c r="F14" s="102">
        <v>0</v>
      </c>
      <c r="G14" s="102">
        <v>30000000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1">
        <f t="shared" si="2"/>
        <v>25000000</v>
      </c>
      <c r="N14" s="102">
        <v>0</v>
      </c>
      <c r="O14" s="102">
        <v>0</v>
      </c>
      <c r="P14" s="102">
        <v>25000000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27" t="s">
        <v>1053</v>
      </c>
    </row>
    <row r="15" spans="1:22" s="89" customFormat="1" ht="28.5">
      <c r="A15" s="98"/>
      <c r="B15" s="98" t="s">
        <v>295</v>
      </c>
      <c r="C15" s="205" t="s">
        <v>1369</v>
      </c>
      <c r="D15" s="101">
        <f t="shared" si="1"/>
        <v>12286268</v>
      </c>
      <c r="E15" s="102">
        <v>0</v>
      </c>
      <c r="F15" s="102">
        <v>0</v>
      </c>
      <c r="G15" s="102">
        <v>12286268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1">
        <f t="shared" si="2"/>
        <v>10229826</v>
      </c>
      <c r="N15" s="102">
        <v>0</v>
      </c>
      <c r="O15" s="102">
        <v>0</v>
      </c>
      <c r="P15" s="102">
        <v>10229826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27" t="s">
        <v>1054</v>
      </c>
    </row>
    <row r="16" spans="1:22" s="89" customFormat="1" ht="45" customHeight="1">
      <c r="A16" s="98"/>
      <c r="B16" s="98" t="s">
        <v>296</v>
      </c>
      <c r="C16" s="90" t="s">
        <v>779</v>
      </c>
      <c r="D16" s="101">
        <f t="shared" si="1"/>
        <v>1000000</v>
      </c>
      <c r="E16" s="102">
        <v>0</v>
      </c>
      <c r="F16" s="102">
        <v>0</v>
      </c>
      <c r="G16" s="102">
        <v>1000000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1">
        <f t="shared" si="2"/>
        <v>3470174</v>
      </c>
      <c r="N16" s="102">
        <v>0</v>
      </c>
      <c r="O16" s="102">
        <v>0</v>
      </c>
      <c r="P16" s="102">
        <v>2865654</v>
      </c>
      <c r="Q16" s="102">
        <v>0</v>
      </c>
      <c r="R16" s="102">
        <v>0</v>
      </c>
      <c r="S16" s="102">
        <v>604520</v>
      </c>
      <c r="T16" s="102">
        <v>0</v>
      </c>
      <c r="U16" s="102">
        <v>0</v>
      </c>
      <c r="V16" s="127" t="s">
        <v>1055</v>
      </c>
    </row>
    <row r="17" spans="1:22" s="89" customFormat="1" ht="28.5">
      <c r="A17" s="98"/>
      <c r="B17" s="98" t="s">
        <v>775</v>
      </c>
      <c r="C17" s="90" t="s">
        <v>709</v>
      </c>
      <c r="D17" s="101">
        <f t="shared" si="1"/>
        <v>21705853</v>
      </c>
      <c r="E17" s="102">
        <v>0</v>
      </c>
      <c r="F17" s="102">
        <v>0</v>
      </c>
      <c r="G17" s="102">
        <v>21705853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1">
        <f t="shared" si="2"/>
        <v>21705853</v>
      </c>
      <c r="N17" s="102">
        <v>0</v>
      </c>
      <c r="O17" s="102">
        <v>0</v>
      </c>
      <c r="P17" s="102">
        <v>21705853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27" t="s">
        <v>1056</v>
      </c>
    </row>
    <row r="18" spans="1:22" s="89" customFormat="1" ht="18">
      <c r="A18" s="98"/>
      <c r="B18" s="98" t="s">
        <v>298</v>
      </c>
      <c r="C18" s="90" t="s">
        <v>760</v>
      </c>
      <c r="D18" s="101">
        <f t="shared" si="1"/>
        <v>9848850</v>
      </c>
      <c r="E18" s="102">
        <v>0</v>
      </c>
      <c r="F18" s="102">
        <v>0</v>
      </c>
      <c r="G18" s="102">
        <v>9848850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1">
        <f t="shared" si="2"/>
        <v>9848850</v>
      </c>
      <c r="N18" s="102">
        <v>0</v>
      </c>
      <c r="O18" s="102">
        <v>0</v>
      </c>
      <c r="P18" s="102">
        <v>9848850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27" t="s">
        <v>1057</v>
      </c>
    </row>
    <row r="19" spans="1:22" s="89" customFormat="1" ht="18">
      <c r="A19" s="98"/>
      <c r="B19" s="98" t="s">
        <v>300</v>
      </c>
      <c r="C19" s="99" t="s">
        <v>297</v>
      </c>
      <c r="D19" s="101">
        <f t="shared" si="1"/>
        <v>1355600</v>
      </c>
      <c r="E19" s="102">
        <v>0</v>
      </c>
      <c r="F19" s="102">
        <v>0</v>
      </c>
      <c r="G19" s="102">
        <v>1355600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1">
        <f t="shared" si="2"/>
        <v>3489960</v>
      </c>
      <c r="N19" s="102">
        <v>0</v>
      </c>
      <c r="O19" s="102">
        <v>0</v>
      </c>
      <c r="P19" s="102">
        <v>3489960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27" t="s">
        <v>1058</v>
      </c>
    </row>
    <row r="20" spans="1:22" s="89" customFormat="1" ht="18">
      <c r="A20" s="98"/>
      <c r="B20" s="98" t="s">
        <v>301</v>
      </c>
      <c r="C20" s="99" t="s">
        <v>299</v>
      </c>
      <c r="D20" s="101">
        <f t="shared" si="1"/>
        <v>11399991</v>
      </c>
      <c r="E20" s="102">
        <v>0</v>
      </c>
      <c r="F20" s="102">
        <v>0</v>
      </c>
      <c r="G20" s="102">
        <v>11399991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1">
        <f t="shared" si="2"/>
        <v>6399991</v>
      </c>
      <c r="N20" s="102">
        <v>0</v>
      </c>
      <c r="O20" s="102">
        <v>0</v>
      </c>
      <c r="P20" s="102">
        <v>6399991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27" t="s">
        <v>1059</v>
      </c>
    </row>
    <row r="21" spans="1:22" s="89" customFormat="1" ht="18">
      <c r="A21" s="98"/>
      <c r="B21" s="98" t="s">
        <v>700</v>
      </c>
      <c r="C21" s="99" t="s">
        <v>1370</v>
      </c>
      <c r="D21" s="101">
        <f t="shared" si="1"/>
        <v>81453106</v>
      </c>
      <c r="E21" s="102">
        <v>0</v>
      </c>
      <c r="F21" s="102">
        <v>0</v>
      </c>
      <c r="G21" s="102">
        <v>81453106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1">
        <f t="shared" si="2"/>
        <v>69055644</v>
      </c>
      <c r="N21" s="102">
        <v>0</v>
      </c>
      <c r="O21" s="102">
        <v>0</v>
      </c>
      <c r="P21" s="102">
        <v>68447250</v>
      </c>
      <c r="Q21" s="102">
        <v>0</v>
      </c>
      <c r="R21" s="102">
        <v>0</v>
      </c>
      <c r="S21" s="102">
        <v>608394</v>
      </c>
      <c r="T21" s="102">
        <v>0</v>
      </c>
      <c r="U21" s="102">
        <v>0</v>
      </c>
      <c r="V21" s="127" t="s">
        <v>1060</v>
      </c>
    </row>
    <row r="22" spans="1:22" s="89" customFormat="1" ht="28.5">
      <c r="A22" s="98"/>
      <c r="B22" s="98" t="s">
        <v>776</v>
      </c>
      <c r="C22" s="99" t="s">
        <v>1428</v>
      </c>
      <c r="D22" s="101">
        <f t="shared" si="1"/>
        <v>180202310</v>
      </c>
      <c r="E22" s="102">
        <v>0</v>
      </c>
      <c r="F22" s="102">
        <v>0</v>
      </c>
      <c r="G22" s="102">
        <v>144702310</v>
      </c>
      <c r="H22" s="102">
        <v>0</v>
      </c>
      <c r="I22" s="102">
        <v>0</v>
      </c>
      <c r="J22" s="102">
        <v>35500000</v>
      </c>
      <c r="K22" s="102">
        <v>0</v>
      </c>
      <c r="L22" s="102">
        <v>0</v>
      </c>
      <c r="M22" s="101">
        <f t="shared" si="2"/>
        <v>188202310</v>
      </c>
      <c r="N22" s="102">
        <v>0</v>
      </c>
      <c r="O22" s="102">
        <v>0</v>
      </c>
      <c r="P22" s="102">
        <v>151945010</v>
      </c>
      <c r="Q22" s="102">
        <v>0</v>
      </c>
      <c r="R22" s="102">
        <v>0</v>
      </c>
      <c r="S22" s="102">
        <v>36257300</v>
      </c>
      <c r="T22" s="102">
        <v>0</v>
      </c>
      <c r="U22" s="102">
        <v>0</v>
      </c>
      <c r="V22" s="127" t="s">
        <v>1061</v>
      </c>
    </row>
    <row r="23" spans="1:22" s="89" customFormat="1" ht="18">
      <c r="A23" s="98"/>
      <c r="B23" s="98" t="s">
        <v>777</v>
      </c>
      <c r="C23" s="90" t="s">
        <v>1371</v>
      </c>
      <c r="D23" s="101">
        <f t="shared" si="1"/>
        <v>52583365</v>
      </c>
      <c r="E23" s="102">
        <v>0</v>
      </c>
      <c r="F23" s="102">
        <v>0</v>
      </c>
      <c r="G23" s="102">
        <v>52583365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1">
        <f t="shared" si="2"/>
        <v>51714519</v>
      </c>
      <c r="N23" s="102">
        <v>0</v>
      </c>
      <c r="O23" s="102">
        <v>0</v>
      </c>
      <c r="P23" s="102">
        <v>51714519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27" t="s">
        <v>1062</v>
      </c>
    </row>
    <row r="24" spans="1:22" s="89" customFormat="1" ht="18">
      <c r="A24" s="98"/>
      <c r="B24" s="98" t="s">
        <v>778</v>
      </c>
      <c r="C24" s="90" t="s">
        <v>1372</v>
      </c>
      <c r="D24" s="101">
        <f t="shared" si="1"/>
        <v>13873967</v>
      </c>
      <c r="E24" s="102">
        <v>0</v>
      </c>
      <c r="F24" s="102">
        <v>0</v>
      </c>
      <c r="G24" s="102">
        <v>13873967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1">
        <f t="shared" si="2"/>
        <v>24079682</v>
      </c>
      <c r="N24" s="102">
        <v>0</v>
      </c>
      <c r="O24" s="102">
        <v>0</v>
      </c>
      <c r="P24" s="102">
        <v>24079682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27" t="s">
        <v>1063</v>
      </c>
    </row>
    <row r="25" spans="1:22" ht="18">
      <c r="A25" s="91" t="s">
        <v>57</v>
      </c>
      <c r="B25" s="91"/>
      <c r="C25" s="92" t="s">
        <v>41</v>
      </c>
      <c r="D25" s="93">
        <f aca="true" t="shared" si="3" ref="D25:D52">SUM(E25:L25)</f>
        <v>460044468</v>
      </c>
      <c r="E25" s="94">
        <f>SUM(E26:E49)</f>
        <v>15437715</v>
      </c>
      <c r="F25" s="94">
        <f aca="true" t="shared" si="4" ref="F25:L25">SUM(F26:F49)</f>
        <v>2979454</v>
      </c>
      <c r="G25" s="94">
        <f t="shared" si="4"/>
        <v>120944111</v>
      </c>
      <c r="H25" s="94">
        <f t="shared" si="4"/>
        <v>0</v>
      </c>
      <c r="I25" s="94">
        <f t="shared" si="4"/>
        <v>92816689</v>
      </c>
      <c r="J25" s="94">
        <f t="shared" si="4"/>
        <v>227866499</v>
      </c>
      <c r="K25" s="94">
        <f t="shared" si="4"/>
        <v>0</v>
      </c>
      <c r="L25" s="94">
        <f t="shared" si="4"/>
        <v>0</v>
      </c>
      <c r="M25" s="94">
        <f>SUM(M26:M49)</f>
        <v>381173670</v>
      </c>
      <c r="N25" s="94">
        <f>SUM(N26:N49)</f>
        <v>25792775</v>
      </c>
      <c r="O25" s="94">
        <f aca="true" t="shared" si="5" ref="O25:U25">SUM(O26:O49)</f>
        <v>4759915</v>
      </c>
      <c r="P25" s="94">
        <f t="shared" si="5"/>
        <v>139740691</v>
      </c>
      <c r="Q25" s="94">
        <f t="shared" si="5"/>
        <v>0</v>
      </c>
      <c r="R25" s="94">
        <f t="shared" si="5"/>
        <v>81300000</v>
      </c>
      <c r="S25" s="94">
        <f t="shared" si="5"/>
        <v>128780289</v>
      </c>
      <c r="T25" s="94">
        <f t="shared" si="5"/>
        <v>0</v>
      </c>
      <c r="U25" s="94">
        <f t="shared" si="5"/>
        <v>800000</v>
      </c>
      <c r="V25" s="119"/>
    </row>
    <row r="26" spans="1:22" s="89" customFormat="1" ht="18">
      <c r="A26" s="98"/>
      <c r="B26" s="98" t="s">
        <v>302</v>
      </c>
      <c r="C26" s="99" t="s">
        <v>303</v>
      </c>
      <c r="D26" s="101">
        <f t="shared" si="3"/>
        <v>15193040</v>
      </c>
      <c r="E26" s="102">
        <v>0</v>
      </c>
      <c r="F26" s="102">
        <v>0</v>
      </c>
      <c r="G26" s="102">
        <v>15193040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1">
        <f t="shared" si="2"/>
        <v>14914880</v>
      </c>
      <c r="N26" s="102">
        <v>0</v>
      </c>
      <c r="O26" s="102">
        <v>0</v>
      </c>
      <c r="P26" s="102">
        <v>14914880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27" t="s">
        <v>1064</v>
      </c>
    </row>
    <row r="27" spans="1:22" s="89" customFormat="1" ht="18">
      <c r="A27" s="98"/>
      <c r="B27" s="98" t="s">
        <v>304</v>
      </c>
      <c r="C27" s="99" t="s">
        <v>780</v>
      </c>
      <c r="D27" s="101">
        <f t="shared" si="3"/>
        <v>4542299</v>
      </c>
      <c r="E27" s="102">
        <v>0</v>
      </c>
      <c r="F27" s="102">
        <v>0</v>
      </c>
      <c r="G27" s="102">
        <v>4542299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1">
        <f t="shared" si="2"/>
        <v>3718687</v>
      </c>
      <c r="N27" s="102">
        <v>0</v>
      </c>
      <c r="O27" s="102">
        <v>0</v>
      </c>
      <c r="P27" s="102">
        <v>3718687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27" t="s">
        <v>1065</v>
      </c>
    </row>
    <row r="28" spans="1:22" s="89" customFormat="1" ht="18">
      <c r="A28" s="98"/>
      <c r="B28" s="98" t="s">
        <v>305</v>
      </c>
      <c r="C28" s="99" t="s">
        <v>306</v>
      </c>
      <c r="D28" s="101">
        <f t="shared" si="3"/>
        <v>12500000</v>
      </c>
      <c r="E28" s="102">
        <v>0</v>
      </c>
      <c r="F28" s="102">
        <v>0</v>
      </c>
      <c r="G28" s="102">
        <v>12500000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1">
        <f t="shared" si="2"/>
        <v>12500000</v>
      </c>
      <c r="N28" s="102">
        <v>0</v>
      </c>
      <c r="O28" s="102">
        <v>0</v>
      </c>
      <c r="P28" s="102">
        <v>12500000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27" t="s">
        <v>1066</v>
      </c>
    </row>
    <row r="29" spans="1:22" s="89" customFormat="1" ht="18">
      <c r="A29" s="98"/>
      <c r="B29" s="98" t="s">
        <v>307</v>
      </c>
      <c r="C29" s="99" t="s">
        <v>710</v>
      </c>
      <c r="D29" s="101">
        <f t="shared" si="3"/>
        <v>1000000</v>
      </c>
      <c r="E29" s="102">
        <v>0</v>
      </c>
      <c r="F29" s="102">
        <v>0</v>
      </c>
      <c r="G29" s="102">
        <v>1000000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1">
        <f t="shared" si="2"/>
        <v>1000000</v>
      </c>
      <c r="N29" s="102">
        <v>0</v>
      </c>
      <c r="O29" s="102">
        <v>0</v>
      </c>
      <c r="P29" s="102">
        <v>838075</v>
      </c>
      <c r="Q29" s="102">
        <v>0</v>
      </c>
      <c r="R29" s="102">
        <v>0</v>
      </c>
      <c r="S29" s="102">
        <v>161925</v>
      </c>
      <c r="T29" s="102">
        <v>0</v>
      </c>
      <c r="U29" s="102">
        <v>0</v>
      </c>
      <c r="V29" s="127" t="s">
        <v>1067</v>
      </c>
    </row>
    <row r="30" spans="1:22" s="89" customFormat="1" ht="18">
      <c r="A30" s="98"/>
      <c r="B30" s="98" t="s">
        <v>309</v>
      </c>
      <c r="C30" s="99" t="s">
        <v>1373</v>
      </c>
      <c r="D30" s="101">
        <f t="shared" si="3"/>
        <v>17493200</v>
      </c>
      <c r="E30" s="102">
        <v>20225</v>
      </c>
      <c r="F30" s="102">
        <v>12325</v>
      </c>
      <c r="G30" s="102">
        <v>17460650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1">
        <f t="shared" si="2"/>
        <v>15993200</v>
      </c>
      <c r="N30" s="102">
        <v>20225</v>
      </c>
      <c r="O30" s="102">
        <v>12325</v>
      </c>
      <c r="P30" s="102">
        <v>15960650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27" t="s">
        <v>1068</v>
      </c>
    </row>
    <row r="31" spans="1:22" s="89" customFormat="1" ht="18">
      <c r="A31" s="98"/>
      <c r="B31" s="98" t="s">
        <v>310</v>
      </c>
      <c r="C31" s="99" t="s">
        <v>308</v>
      </c>
      <c r="D31" s="101">
        <f t="shared" si="3"/>
        <v>24716359</v>
      </c>
      <c r="E31" s="102">
        <v>0</v>
      </c>
      <c r="F31" s="102">
        <v>0</v>
      </c>
      <c r="G31" s="102">
        <v>24716359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1">
        <f t="shared" si="2"/>
        <v>24716359</v>
      </c>
      <c r="N31" s="102">
        <v>0</v>
      </c>
      <c r="O31" s="102">
        <v>0</v>
      </c>
      <c r="P31" s="102">
        <v>24716359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27" t="s">
        <v>1069</v>
      </c>
    </row>
    <row r="32" spans="1:22" s="89" customFormat="1" ht="18">
      <c r="A32" s="98"/>
      <c r="B32" s="98" t="s">
        <v>312</v>
      </c>
      <c r="C32" s="113" t="s">
        <v>1303</v>
      </c>
      <c r="D32" s="104">
        <f t="shared" si="3"/>
        <v>5000000</v>
      </c>
      <c r="E32" s="102">
        <v>0</v>
      </c>
      <c r="F32" s="102">
        <v>0</v>
      </c>
      <c r="G32" s="102">
        <v>5000000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1">
        <f t="shared" si="2"/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51">
        <v>52631</v>
      </c>
    </row>
    <row r="33" spans="1:22" s="89" customFormat="1" ht="18">
      <c r="A33" s="98"/>
      <c r="B33" s="98" t="s">
        <v>313</v>
      </c>
      <c r="C33" s="100" t="s">
        <v>311</v>
      </c>
      <c r="D33" s="101">
        <f t="shared" si="3"/>
        <v>1000000</v>
      </c>
      <c r="E33" s="102">
        <v>0</v>
      </c>
      <c r="F33" s="102">
        <v>0</v>
      </c>
      <c r="G33" s="102">
        <v>1000000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1">
        <f t="shared" si="2"/>
        <v>292100</v>
      </c>
      <c r="N33" s="102">
        <v>0</v>
      </c>
      <c r="O33" s="102">
        <v>0</v>
      </c>
      <c r="P33" s="102">
        <v>292100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27" t="s">
        <v>1070</v>
      </c>
    </row>
    <row r="34" spans="1:22" s="89" customFormat="1" ht="18">
      <c r="A34" s="98"/>
      <c r="B34" s="98" t="s">
        <v>315</v>
      </c>
      <c r="C34" s="113" t="s">
        <v>1304</v>
      </c>
      <c r="D34" s="104">
        <f t="shared" si="3"/>
        <v>10000000</v>
      </c>
      <c r="E34" s="102">
        <v>0</v>
      </c>
      <c r="F34" s="102">
        <v>0</v>
      </c>
      <c r="G34" s="102">
        <v>10000000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1">
        <f t="shared" si="2"/>
        <v>5000000</v>
      </c>
      <c r="N34" s="102">
        <v>0</v>
      </c>
      <c r="O34" s="102">
        <v>0</v>
      </c>
      <c r="P34" s="102">
        <v>5000000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51">
        <v>52632</v>
      </c>
    </row>
    <row r="35" spans="1:22" s="89" customFormat="1" ht="18">
      <c r="A35" s="98"/>
      <c r="B35" s="98" t="s">
        <v>316</v>
      </c>
      <c r="C35" s="100" t="s">
        <v>1374</v>
      </c>
      <c r="D35" s="101">
        <f t="shared" si="3"/>
        <v>26981917</v>
      </c>
      <c r="E35" s="102">
        <v>0</v>
      </c>
      <c r="F35" s="102">
        <v>0</v>
      </c>
      <c r="G35" s="102">
        <v>8210542</v>
      </c>
      <c r="H35" s="102">
        <v>0</v>
      </c>
      <c r="I35" s="102">
        <v>0</v>
      </c>
      <c r="J35" s="102">
        <v>18771375</v>
      </c>
      <c r="K35" s="102">
        <v>0</v>
      </c>
      <c r="L35" s="102">
        <v>0</v>
      </c>
      <c r="M35" s="101">
        <f t="shared" si="2"/>
        <v>20938815</v>
      </c>
      <c r="N35" s="102">
        <v>0</v>
      </c>
      <c r="O35" s="102">
        <v>0</v>
      </c>
      <c r="P35" s="102">
        <v>8167440</v>
      </c>
      <c r="Q35" s="102">
        <v>0</v>
      </c>
      <c r="R35" s="102">
        <v>0</v>
      </c>
      <c r="S35" s="102">
        <v>12771375</v>
      </c>
      <c r="T35" s="102">
        <v>0</v>
      </c>
      <c r="U35" s="102">
        <v>0</v>
      </c>
      <c r="V35" s="127">
        <v>52610</v>
      </c>
    </row>
    <row r="36" spans="1:22" s="89" customFormat="1" ht="18">
      <c r="A36" s="98"/>
      <c r="B36" s="98" t="s">
        <v>785</v>
      </c>
      <c r="C36" s="100" t="s">
        <v>784</v>
      </c>
      <c r="D36" s="101">
        <f t="shared" si="3"/>
        <v>1000000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1000000</v>
      </c>
      <c r="K36" s="102">
        <v>0</v>
      </c>
      <c r="L36" s="102">
        <v>0</v>
      </c>
      <c r="M36" s="101">
        <f t="shared" si="2"/>
        <v>1000000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1000000</v>
      </c>
      <c r="T36" s="102">
        <v>0</v>
      </c>
      <c r="U36" s="102">
        <v>0</v>
      </c>
      <c r="V36" s="127" t="s">
        <v>1071</v>
      </c>
    </row>
    <row r="37" spans="1:22" s="89" customFormat="1" ht="18">
      <c r="A37" s="98"/>
      <c r="B37" s="98" t="s">
        <v>786</v>
      </c>
      <c r="C37" s="113" t="s">
        <v>1305</v>
      </c>
      <c r="D37" s="104">
        <f t="shared" si="3"/>
        <v>30000000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30000000</v>
      </c>
      <c r="K37" s="102">
        <v>0</v>
      </c>
      <c r="L37" s="102">
        <v>0</v>
      </c>
      <c r="M37" s="101">
        <f t="shared" si="2"/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102">
        <v>0</v>
      </c>
      <c r="T37" s="102">
        <v>0</v>
      </c>
      <c r="U37" s="102">
        <v>0</v>
      </c>
      <c r="V37" s="151">
        <v>52633</v>
      </c>
    </row>
    <row r="38" spans="1:22" s="89" customFormat="1" ht="18">
      <c r="A38" s="98"/>
      <c r="B38" s="98" t="s">
        <v>787</v>
      </c>
      <c r="C38" s="113" t="s">
        <v>1430</v>
      </c>
      <c r="D38" s="104">
        <f t="shared" si="3"/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1">
        <f t="shared" si="2"/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102">
        <v>0</v>
      </c>
      <c r="T38" s="102">
        <v>0</v>
      </c>
      <c r="U38" s="102">
        <v>0</v>
      </c>
      <c r="V38" s="127">
        <v>52634</v>
      </c>
    </row>
    <row r="39" spans="1:22" s="89" customFormat="1" ht="18">
      <c r="A39" s="98"/>
      <c r="B39" s="98" t="s">
        <v>788</v>
      </c>
      <c r="C39" s="100" t="s">
        <v>981</v>
      </c>
      <c r="D39" s="104">
        <f t="shared" si="3"/>
        <v>3000000</v>
      </c>
      <c r="E39" s="102">
        <v>0</v>
      </c>
      <c r="F39" s="102">
        <v>0</v>
      </c>
      <c r="G39" s="102">
        <v>3000000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1">
        <f t="shared" si="2"/>
        <v>3000000</v>
      </c>
      <c r="N39" s="102">
        <v>0</v>
      </c>
      <c r="O39" s="102">
        <v>0</v>
      </c>
      <c r="P39" s="102">
        <v>3000000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51" t="s">
        <v>1072</v>
      </c>
    </row>
    <row r="40" spans="1:22" s="89" customFormat="1" ht="18">
      <c r="A40" s="98"/>
      <c r="B40" s="98" t="s">
        <v>789</v>
      </c>
      <c r="C40" s="113" t="s">
        <v>1429</v>
      </c>
      <c r="D40" s="104">
        <f t="shared" si="3"/>
        <v>1145540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1145540</v>
      </c>
      <c r="K40" s="102">
        <v>0</v>
      </c>
      <c r="L40" s="102">
        <v>0</v>
      </c>
      <c r="M40" s="101">
        <f t="shared" si="2"/>
        <v>1145540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102">
        <v>1145540</v>
      </c>
      <c r="T40" s="102">
        <v>0</v>
      </c>
      <c r="U40" s="102">
        <v>0</v>
      </c>
      <c r="V40" s="151" t="s">
        <v>1426</v>
      </c>
    </row>
    <row r="41" spans="1:22" s="89" customFormat="1" ht="18">
      <c r="A41" s="98"/>
      <c r="B41" s="98" t="s">
        <v>790</v>
      </c>
      <c r="C41" s="113" t="s">
        <v>1375</v>
      </c>
      <c r="D41" s="104">
        <f t="shared" si="3"/>
        <v>9839970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9839970</v>
      </c>
      <c r="K41" s="102">
        <v>0</v>
      </c>
      <c r="L41" s="102">
        <v>0</v>
      </c>
      <c r="M41" s="101">
        <f t="shared" si="2"/>
        <v>9839970</v>
      </c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102">
        <v>9839970</v>
      </c>
      <c r="T41" s="102">
        <v>0</v>
      </c>
      <c r="U41" s="102">
        <v>0</v>
      </c>
      <c r="V41" s="151" t="s">
        <v>1425</v>
      </c>
    </row>
    <row r="42" spans="1:22" s="89" customFormat="1" ht="18">
      <c r="A42" s="98"/>
      <c r="B42" s="98" t="s">
        <v>791</v>
      </c>
      <c r="C42" s="113" t="s">
        <v>982</v>
      </c>
      <c r="D42" s="104">
        <f t="shared" si="3"/>
        <v>10000000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10000000</v>
      </c>
      <c r="K42" s="102">
        <v>0</v>
      </c>
      <c r="L42" s="102">
        <v>0</v>
      </c>
      <c r="M42" s="101">
        <f t="shared" si="2"/>
        <v>10000000</v>
      </c>
      <c r="N42" s="102">
        <v>0</v>
      </c>
      <c r="O42" s="102">
        <v>0</v>
      </c>
      <c r="P42" s="102">
        <v>0</v>
      </c>
      <c r="Q42" s="102">
        <v>0</v>
      </c>
      <c r="R42" s="102">
        <v>0</v>
      </c>
      <c r="S42" s="102">
        <v>10000000</v>
      </c>
      <c r="T42" s="102">
        <v>0</v>
      </c>
      <c r="U42" s="102">
        <v>0</v>
      </c>
      <c r="V42" s="151">
        <v>52617</v>
      </c>
    </row>
    <row r="43" spans="1:22" s="89" customFormat="1" ht="18">
      <c r="A43" s="98"/>
      <c r="B43" s="98" t="s">
        <v>792</v>
      </c>
      <c r="C43" s="100" t="s">
        <v>314</v>
      </c>
      <c r="D43" s="104">
        <f t="shared" si="3"/>
        <v>77202224</v>
      </c>
      <c r="E43" s="102">
        <v>15417490</v>
      </c>
      <c r="F43" s="102">
        <v>2967129</v>
      </c>
      <c r="G43" s="102">
        <v>10321221</v>
      </c>
      <c r="H43" s="102">
        <v>0</v>
      </c>
      <c r="I43" s="102">
        <v>0</v>
      </c>
      <c r="J43" s="102">
        <v>48496384</v>
      </c>
      <c r="K43" s="102">
        <v>0</v>
      </c>
      <c r="L43" s="102">
        <v>0</v>
      </c>
      <c r="M43" s="101">
        <f t="shared" si="2"/>
        <v>89664510</v>
      </c>
      <c r="N43" s="102">
        <v>25772550</v>
      </c>
      <c r="O43" s="102">
        <v>4747590</v>
      </c>
      <c r="P43" s="102">
        <v>10321221</v>
      </c>
      <c r="Q43" s="102">
        <v>0</v>
      </c>
      <c r="R43" s="102">
        <v>0</v>
      </c>
      <c r="S43" s="102">
        <v>48823149</v>
      </c>
      <c r="T43" s="102">
        <v>0</v>
      </c>
      <c r="U43" s="102">
        <v>0</v>
      </c>
      <c r="V43" s="151" t="s">
        <v>1073</v>
      </c>
    </row>
    <row r="44" spans="1:22" s="89" customFormat="1" ht="27.75" customHeight="1">
      <c r="A44" s="98"/>
      <c r="B44" s="98" t="s">
        <v>793</v>
      </c>
      <c r="C44" s="100" t="s">
        <v>1506</v>
      </c>
      <c r="D44" s="104">
        <f t="shared" si="3"/>
        <v>92216689</v>
      </c>
      <c r="E44" s="102">
        <v>0</v>
      </c>
      <c r="F44" s="102">
        <v>0</v>
      </c>
      <c r="G44" s="102">
        <v>0</v>
      </c>
      <c r="H44" s="102">
        <v>0</v>
      </c>
      <c r="I44" s="102">
        <v>92216689</v>
      </c>
      <c r="J44" s="102">
        <v>0</v>
      </c>
      <c r="K44" s="102">
        <v>0</v>
      </c>
      <c r="L44" s="102">
        <v>0</v>
      </c>
      <c r="M44" s="101">
        <f t="shared" si="2"/>
        <v>80000000</v>
      </c>
      <c r="N44" s="102">
        <v>0</v>
      </c>
      <c r="O44" s="102">
        <v>0</v>
      </c>
      <c r="P44" s="102">
        <v>0</v>
      </c>
      <c r="Q44" s="102">
        <v>0</v>
      </c>
      <c r="R44" s="102">
        <v>80000000</v>
      </c>
      <c r="S44" s="102">
        <v>0</v>
      </c>
      <c r="T44" s="102">
        <v>0</v>
      </c>
      <c r="U44" s="102">
        <v>0</v>
      </c>
      <c r="V44" s="151" t="s">
        <v>1074</v>
      </c>
    </row>
    <row r="45" spans="1:22" s="89" customFormat="1" ht="27.75" customHeight="1">
      <c r="A45" s="98"/>
      <c r="B45" s="98" t="s">
        <v>794</v>
      </c>
      <c r="C45" s="90" t="s">
        <v>807</v>
      </c>
      <c r="D45" s="104">
        <f t="shared" si="3"/>
        <v>3600000</v>
      </c>
      <c r="E45" s="102">
        <v>0</v>
      </c>
      <c r="F45" s="102">
        <v>0</v>
      </c>
      <c r="G45" s="102">
        <v>3000000</v>
      </c>
      <c r="H45" s="102">
        <v>0</v>
      </c>
      <c r="I45" s="102">
        <v>600000</v>
      </c>
      <c r="J45" s="102">
        <v>0</v>
      </c>
      <c r="K45" s="102">
        <v>0</v>
      </c>
      <c r="L45" s="102">
        <v>0</v>
      </c>
      <c r="M45" s="101">
        <f t="shared" si="2"/>
        <v>2181398</v>
      </c>
      <c r="N45" s="102">
        <v>0</v>
      </c>
      <c r="O45" s="102">
        <v>0</v>
      </c>
      <c r="P45" s="102">
        <v>81398</v>
      </c>
      <c r="Q45" s="102">
        <v>0</v>
      </c>
      <c r="R45" s="102">
        <v>1300000</v>
      </c>
      <c r="S45" s="102">
        <v>0</v>
      </c>
      <c r="T45" s="102">
        <v>0</v>
      </c>
      <c r="U45" s="102">
        <v>800000</v>
      </c>
      <c r="V45" s="151" t="s">
        <v>1075</v>
      </c>
    </row>
    <row r="46" spans="1:22" s="89" customFormat="1" ht="18">
      <c r="A46" s="98"/>
      <c r="B46" s="98" t="s">
        <v>795</v>
      </c>
      <c r="C46" s="113" t="s">
        <v>985</v>
      </c>
      <c r="D46" s="104">
        <f t="shared" si="3"/>
        <v>88113230</v>
      </c>
      <c r="E46" s="102">
        <v>0</v>
      </c>
      <c r="F46" s="102">
        <v>0</v>
      </c>
      <c r="G46" s="102">
        <v>5000000</v>
      </c>
      <c r="H46" s="102">
        <v>0</v>
      </c>
      <c r="I46" s="102">
        <v>0</v>
      </c>
      <c r="J46" s="102">
        <v>83113230</v>
      </c>
      <c r="K46" s="102">
        <v>0</v>
      </c>
      <c r="L46" s="102">
        <v>0</v>
      </c>
      <c r="M46" s="101">
        <f t="shared" si="2"/>
        <v>47581230</v>
      </c>
      <c r="N46" s="102">
        <v>0</v>
      </c>
      <c r="O46" s="102">
        <v>0</v>
      </c>
      <c r="P46" s="102">
        <v>2542900</v>
      </c>
      <c r="Q46" s="102">
        <v>0</v>
      </c>
      <c r="R46" s="102">
        <v>0</v>
      </c>
      <c r="S46" s="102">
        <v>45038330</v>
      </c>
      <c r="T46" s="102">
        <v>0</v>
      </c>
      <c r="U46" s="102">
        <v>0</v>
      </c>
      <c r="V46" s="151" t="s">
        <v>1424</v>
      </c>
    </row>
    <row r="47" spans="1:22" s="89" customFormat="1" ht="18">
      <c r="A47" s="98"/>
      <c r="B47" s="98" t="s">
        <v>796</v>
      </c>
      <c r="C47" s="113" t="s">
        <v>410</v>
      </c>
      <c r="D47" s="104">
        <f t="shared" si="3"/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1">
        <f t="shared" si="2"/>
        <v>0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102">
        <v>0</v>
      </c>
      <c r="T47" s="102">
        <v>0</v>
      </c>
      <c r="U47" s="102">
        <v>0</v>
      </c>
      <c r="V47" s="151" t="s">
        <v>1076</v>
      </c>
    </row>
    <row r="48" spans="1:22" s="89" customFormat="1" ht="18">
      <c r="A48" s="98"/>
      <c r="B48" s="98" t="s">
        <v>983</v>
      </c>
      <c r="C48" s="113" t="s">
        <v>986</v>
      </c>
      <c r="D48" s="104">
        <f t="shared" si="3"/>
        <v>25500000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25500000</v>
      </c>
      <c r="K48" s="102">
        <v>0</v>
      </c>
      <c r="L48" s="102">
        <v>0</v>
      </c>
      <c r="M48" s="101">
        <f t="shared" si="2"/>
        <v>18508741</v>
      </c>
      <c r="N48" s="102">
        <v>0</v>
      </c>
      <c r="O48" s="102">
        <v>0</v>
      </c>
      <c r="P48" s="102">
        <v>18508741</v>
      </c>
      <c r="Q48" s="102">
        <v>0</v>
      </c>
      <c r="R48" s="102">
        <v>0</v>
      </c>
      <c r="S48" s="102">
        <v>0</v>
      </c>
      <c r="T48" s="102">
        <v>0</v>
      </c>
      <c r="U48" s="102">
        <v>0</v>
      </c>
      <c r="V48" s="151" t="s">
        <v>1077</v>
      </c>
    </row>
    <row r="49" spans="1:22" s="89" customFormat="1" ht="30.75" customHeight="1">
      <c r="A49" s="98"/>
      <c r="B49" s="98" t="s">
        <v>1477</v>
      </c>
      <c r="C49" s="113" t="s">
        <v>1478</v>
      </c>
      <c r="D49" s="104">
        <f t="shared" si="3"/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1">
        <f t="shared" si="2"/>
        <v>19178240</v>
      </c>
      <c r="N49" s="102">
        <v>0</v>
      </c>
      <c r="O49" s="102">
        <v>0</v>
      </c>
      <c r="P49" s="102">
        <v>19178240</v>
      </c>
      <c r="Q49" s="102">
        <v>0</v>
      </c>
      <c r="R49" s="102">
        <v>0</v>
      </c>
      <c r="S49" s="102">
        <v>0</v>
      </c>
      <c r="T49" s="102">
        <v>0</v>
      </c>
      <c r="U49" s="102">
        <v>0</v>
      </c>
      <c r="V49" s="151">
        <v>52635</v>
      </c>
    </row>
    <row r="50" spans="1:22" ht="18">
      <c r="A50" s="91" t="s">
        <v>58</v>
      </c>
      <c r="B50" s="91"/>
      <c r="C50" s="92" t="s">
        <v>43</v>
      </c>
      <c r="D50" s="93">
        <f t="shared" si="3"/>
        <v>0</v>
      </c>
      <c r="E50" s="94">
        <f aca="true" t="shared" si="6" ref="E50:U50">SUM(E51)</f>
        <v>0</v>
      </c>
      <c r="F50" s="94">
        <f t="shared" si="6"/>
        <v>0</v>
      </c>
      <c r="G50" s="94">
        <f t="shared" si="6"/>
        <v>0</v>
      </c>
      <c r="H50" s="94">
        <f t="shared" si="6"/>
        <v>0</v>
      </c>
      <c r="I50" s="94">
        <f t="shared" si="6"/>
        <v>0</v>
      </c>
      <c r="J50" s="94">
        <f t="shared" si="6"/>
        <v>0</v>
      </c>
      <c r="K50" s="94">
        <f t="shared" si="6"/>
        <v>0</v>
      </c>
      <c r="L50" s="94">
        <f t="shared" si="6"/>
        <v>0</v>
      </c>
      <c r="M50" s="94">
        <f t="shared" si="6"/>
        <v>0</v>
      </c>
      <c r="N50" s="94">
        <f t="shared" si="6"/>
        <v>0</v>
      </c>
      <c r="O50" s="94">
        <f t="shared" si="6"/>
        <v>0</v>
      </c>
      <c r="P50" s="94">
        <f t="shared" si="6"/>
        <v>0</v>
      </c>
      <c r="Q50" s="94">
        <f t="shared" si="6"/>
        <v>0</v>
      </c>
      <c r="R50" s="94">
        <f t="shared" si="6"/>
        <v>0</v>
      </c>
      <c r="S50" s="94">
        <f t="shared" si="6"/>
        <v>0</v>
      </c>
      <c r="T50" s="94">
        <f t="shared" si="6"/>
        <v>0</v>
      </c>
      <c r="U50" s="94">
        <f t="shared" si="6"/>
        <v>0</v>
      </c>
      <c r="V50" s="151">
        <v>52701</v>
      </c>
    </row>
    <row r="51" spans="1:22" s="89" customFormat="1" ht="18">
      <c r="A51" s="98"/>
      <c r="B51" s="98" t="s">
        <v>317</v>
      </c>
      <c r="C51" s="90"/>
      <c r="D51" s="101">
        <f t="shared" si="3"/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5">
        <v>0</v>
      </c>
      <c r="M51" s="101">
        <f t="shared" si="2"/>
        <v>0</v>
      </c>
      <c r="N51" s="105"/>
      <c r="O51" s="105"/>
      <c r="P51" s="105"/>
      <c r="Q51" s="105"/>
      <c r="R51" s="105"/>
      <c r="S51" s="105"/>
      <c r="T51" s="105"/>
      <c r="U51" s="105"/>
      <c r="V51" s="127"/>
    </row>
    <row r="52" spans="1:22" ht="32.25" customHeight="1">
      <c r="A52" s="467" t="s">
        <v>286</v>
      </c>
      <c r="B52" s="467"/>
      <c r="C52" s="467"/>
      <c r="D52" s="93">
        <f t="shared" si="3"/>
        <v>2173957815</v>
      </c>
      <c r="E52" s="94">
        <f aca="true" t="shared" si="7" ref="E52:U52">E10+E25+E50</f>
        <v>15437715</v>
      </c>
      <c r="F52" s="94">
        <f t="shared" si="7"/>
        <v>2979454</v>
      </c>
      <c r="G52" s="94">
        <f t="shared" si="7"/>
        <v>1796857458</v>
      </c>
      <c r="H52" s="94">
        <f t="shared" si="7"/>
        <v>0</v>
      </c>
      <c r="I52" s="94">
        <f>I10+I25+I50</f>
        <v>92816689</v>
      </c>
      <c r="J52" s="94">
        <f t="shared" si="7"/>
        <v>265866499</v>
      </c>
      <c r="K52" s="94">
        <f t="shared" si="7"/>
        <v>0</v>
      </c>
      <c r="L52" s="94">
        <f t="shared" si="7"/>
        <v>0</v>
      </c>
      <c r="M52" s="94">
        <f t="shared" si="7"/>
        <v>2066962516</v>
      </c>
      <c r="N52" s="94">
        <f t="shared" si="7"/>
        <v>25792775</v>
      </c>
      <c r="O52" s="94">
        <f>O10+O25+O50</f>
        <v>4759915</v>
      </c>
      <c r="P52" s="94">
        <f t="shared" si="7"/>
        <v>1786313323</v>
      </c>
      <c r="Q52" s="94">
        <f t="shared" si="7"/>
        <v>0</v>
      </c>
      <c r="R52" s="94">
        <f t="shared" si="7"/>
        <v>81300000</v>
      </c>
      <c r="S52" s="94">
        <f t="shared" si="7"/>
        <v>167996503</v>
      </c>
      <c r="T52" s="94">
        <f t="shared" si="7"/>
        <v>0</v>
      </c>
      <c r="U52" s="94">
        <f t="shared" si="7"/>
        <v>800000</v>
      </c>
      <c r="V52" s="169"/>
    </row>
    <row r="53" s="83" customFormat="1" ht="12.75"/>
    <row r="54" s="83" customFormat="1" ht="12.75"/>
    <row r="55" s="83" customFormat="1" ht="12.75"/>
    <row r="56" s="83" customFormat="1" ht="12.75"/>
    <row r="57" s="83" customFormat="1" ht="12.75"/>
    <row r="58" s="83" customFormat="1" ht="12.75"/>
    <row r="59" s="83" customFormat="1" ht="12.75"/>
    <row r="60" s="83" customFormat="1" ht="12.75"/>
    <row r="61" s="83" customFormat="1" ht="12.75"/>
    <row r="62" s="83" customFormat="1" ht="12.75"/>
    <row r="63" s="83" customFormat="1" ht="12.75"/>
    <row r="64" s="83" customFormat="1" ht="12.75"/>
    <row r="65" s="83" customFormat="1" ht="12.75"/>
    <row r="66" s="83" customFormat="1" ht="12.75"/>
    <row r="67" s="83" customFormat="1" ht="12.75"/>
    <row r="68" s="83" customFormat="1" ht="12.75"/>
  </sheetData>
  <sheetProtection selectLockedCells="1" selectUnlockedCells="1"/>
  <mergeCells count="17">
    <mergeCell ref="V7:V10"/>
    <mergeCell ref="A1:V1"/>
    <mergeCell ref="A3:V3"/>
    <mergeCell ref="A4:V4"/>
    <mergeCell ref="M7:M9"/>
    <mergeCell ref="N7:U7"/>
    <mergeCell ref="S8:U8"/>
    <mergeCell ref="N8:R8"/>
    <mergeCell ref="A2:V2"/>
    <mergeCell ref="A52:C52"/>
    <mergeCell ref="C7:C9"/>
    <mergeCell ref="D7:D9"/>
    <mergeCell ref="E7:L7"/>
    <mergeCell ref="E8:I8"/>
    <mergeCell ref="J8:L8"/>
    <mergeCell ref="A7:A9"/>
    <mergeCell ref="B7:B9"/>
  </mergeCells>
  <printOptions horizontalCentered="1" verticalCentered="1"/>
  <pageMargins left="0.5118110236220472" right="0.5118110236220472" top="0.7480314960629921" bottom="0.7480314960629921" header="0.5118110236220472" footer="0.5118110236220472"/>
  <pageSetup fitToHeight="1" fitToWidth="1" horizontalDpi="600" verticalDpi="600" orientation="landscape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167"/>
  <sheetViews>
    <sheetView tabSelected="1" view="pageBreakPreview" zoomScale="46" zoomScaleNormal="46" zoomScaleSheetLayoutView="46" zoomScalePageLayoutView="0" workbookViewId="0" topLeftCell="A1">
      <pane xSplit="1" topLeftCell="B1" activePane="topRight" state="frozen"/>
      <selection pane="topLeft" activeCell="A8" sqref="A8"/>
      <selection pane="topRight" activeCell="A1" sqref="A1:W1"/>
    </sheetView>
  </sheetViews>
  <sheetFormatPr defaultColWidth="9.140625" defaultRowHeight="12.75"/>
  <cols>
    <col min="1" max="1" width="7.28125" style="212" customWidth="1"/>
    <col min="2" max="2" width="10.421875" style="212" customWidth="1"/>
    <col min="3" max="3" width="4.57421875" style="212" customWidth="1"/>
    <col min="4" max="4" width="52.140625" style="212" customWidth="1"/>
    <col min="5" max="5" width="23.00390625" style="267" customWidth="1"/>
    <col min="6" max="6" width="17.57421875" style="228" bestFit="1" customWidth="1"/>
    <col min="7" max="7" width="15.28125" style="228" customWidth="1"/>
    <col min="8" max="8" width="23.7109375" style="228" bestFit="1" customWidth="1"/>
    <col min="9" max="9" width="17.140625" style="228" customWidth="1"/>
    <col min="10" max="10" width="19.57421875" style="228" customWidth="1"/>
    <col min="11" max="11" width="23.7109375" style="228" bestFit="1" customWidth="1"/>
    <col min="12" max="12" width="22.140625" style="228" bestFit="1" customWidth="1"/>
    <col min="13" max="13" width="18.00390625" style="228" customWidth="1"/>
    <col min="14" max="14" width="25.140625" style="228" customWidth="1"/>
    <col min="15" max="16" width="18.00390625" style="228" customWidth="1"/>
    <col min="17" max="17" width="23.7109375" style="228" bestFit="1" customWidth="1"/>
    <col min="18" max="19" width="18.00390625" style="228" customWidth="1"/>
    <col min="20" max="20" width="23.7109375" style="228" bestFit="1" customWidth="1"/>
    <col min="21" max="21" width="22.140625" style="228" bestFit="1" customWidth="1"/>
    <col min="22" max="22" width="23.28125" style="228" customWidth="1"/>
    <col min="23" max="23" width="21.8515625" style="212" customWidth="1"/>
    <col min="24" max="16384" width="9.140625" style="212" customWidth="1"/>
  </cols>
  <sheetData>
    <row r="1" spans="1:23" ht="20.25">
      <c r="A1" s="488" t="s">
        <v>1556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</row>
    <row r="2" spans="1:23" ht="23.25" customHeight="1">
      <c r="A2" s="494" t="s">
        <v>1513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</row>
    <row r="3" spans="1:23" ht="33.75" customHeight="1">
      <c r="A3" s="489" t="s">
        <v>318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</row>
    <row r="4" spans="1:23" ht="24.75" customHeight="1">
      <c r="A4" s="490" t="s">
        <v>319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</row>
    <row r="5" spans="1:23" ht="12.75">
      <c r="A5" s="216"/>
      <c r="B5" s="216"/>
      <c r="C5" s="216"/>
      <c r="D5" s="216"/>
      <c r="E5" s="264"/>
      <c r="F5" s="223"/>
      <c r="G5" s="223"/>
      <c r="H5" s="223"/>
      <c r="I5" s="223"/>
      <c r="J5" s="223"/>
      <c r="K5" s="223"/>
      <c r="L5" s="223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1" t="s">
        <v>0</v>
      </c>
    </row>
    <row r="6" spans="1:23" s="332" customFormat="1" ht="23.25" customHeight="1">
      <c r="A6" s="217" t="s">
        <v>1</v>
      </c>
      <c r="B6" s="217" t="s">
        <v>2</v>
      </c>
      <c r="C6" s="217" t="s">
        <v>3</v>
      </c>
      <c r="D6" s="217" t="s">
        <v>4</v>
      </c>
      <c r="E6" s="265" t="s">
        <v>5</v>
      </c>
      <c r="F6" s="225" t="s">
        <v>6</v>
      </c>
      <c r="G6" s="225" t="s">
        <v>7</v>
      </c>
      <c r="H6" s="225" t="s">
        <v>8</v>
      </c>
      <c r="I6" s="225" t="s">
        <v>9</v>
      </c>
      <c r="J6" s="329" t="s">
        <v>10</v>
      </c>
      <c r="K6" s="225" t="s">
        <v>11</v>
      </c>
      <c r="L6" s="330" t="s">
        <v>12</v>
      </c>
      <c r="M6" s="226" t="s">
        <v>13</v>
      </c>
      <c r="N6" s="325" t="s">
        <v>14</v>
      </c>
      <c r="O6" s="326" t="s">
        <v>15</v>
      </c>
      <c r="P6" s="326" t="s">
        <v>16</v>
      </c>
      <c r="Q6" s="326" t="s">
        <v>17</v>
      </c>
      <c r="R6" s="326" t="s">
        <v>18</v>
      </c>
      <c r="S6" s="331" t="s">
        <v>19</v>
      </c>
      <c r="T6" s="326" t="s">
        <v>20</v>
      </c>
      <c r="U6" s="331" t="s">
        <v>21</v>
      </c>
      <c r="V6" s="326" t="s">
        <v>179</v>
      </c>
      <c r="W6" s="326" t="s">
        <v>180</v>
      </c>
    </row>
    <row r="7" spans="1:23" ht="12.75" customHeight="1">
      <c r="A7" s="483" t="s">
        <v>23</v>
      </c>
      <c r="B7" s="486" t="s">
        <v>183</v>
      </c>
      <c r="C7" s="483" t="s">
        <v>320</v>
      </c>
      <c r="D7" s="480" t="s">
        <v>24</v>
      </c>
      <c r="E7" s="491" t="s">
        <v>1262</v>
      </c>
      <c r="F7" s="475" t="s">
        <v>25</v>
      </c>
      <c r="G7" s="476"/>
      <c r="H7" s="476"/>
      <c r="I7" s="476"/>
      <c r="J7" s="476"/>
      <c r="K7" s="476"/>
      <c r="L7" s="476"/>
      <c r="M7" s="476"/>
      <c r="N7" s="462" t="s">
        <v>1467</v>
      </c>
      <c r="O7" s="462" t="s">
        <v>1466</v>
      </c>
      <c r="P7" s="462"/>
      <c r="Q7" s="462"/>
      <c r="R7" s="462"/>
      <c r="S7" s="462"/>
      <c r="T7" s="462"/>
      <c r="U7" s="462"/>
      <c r="V7" s="463"/>
      <c r="W7" s="487" t="s">
        <v>1255</v>
      </c>
    </row>
    <row r="8" spans="1:23" ht="20.25" customHeight="1">
      <c r="A8" s="484"/>
      <c r="B8" s="486"/>
      <c r="C8" s="484"/>
      <c r="D8" s="481"/>
      <c r="E8" s="492"/>
      <c r="F8" s="477" t="s">
        <v>26</v>
      </c>
      <c r="G8" s="478"/>
      <c r="H8" s="478"/>
      <c r="I8" s="478"/>
      <c r="J8" s="479"/>
      <c r="K8" s="477" t="s">
        <v>27</v>
      </c>
      <c r="L8" s="478"/>
      <c r="M8" s="478"/>
      <c r="N8" s="462"/>
      <c r="O8" s="464" t="s">
        <v>26</v>
      </c>
      <c r="P8" s="464"/>
      <c r="Q8" s="464"/>
      <c r="R8" s="464"/>
      <c r="S8" s="464"/>
      <c r="T8" s="464" t="s">
        <v>27</v>
      </c>
      <c r="U8" s="464"/>
      <c r="V8" s="465"/>
      <c r="W8" s="487"/>
    </row>
    <row r="9" spans="1:23" ht="90" customHeight="1">
      <c r="A9" s="485"/>
      <c r="B9" s="486"/>
      <c r="C9" s="485"/>
      <c r="D9" s="482"/>
      <c r="E9" s="493"/>
      <c r="F9" s="227" t="s">
        <v>28</v>
      </c>
      <c r="G9" s="227" t="s">
        <v>29</v>
      </c>
      <c r="H9" s="227" t="s">
        <v>30</v>
      </c>
      <c r="I9" s="227" t="s">
        <v>31</v>
      </c>
      <c r="J9" s="227" t="s">
        <v>32</v>
      </c>
      <c r="K9" s="227" t="s">
        <v>33</v>
      </c>
      <c r="L9" s="227" t="s">
        <v>34</v>
      </c>
      <c r="M9" s="320" t="s">
        <v>35</v>
      </c>
      <c r="N9" s="462"/>
      <c r="O9" s="97" t="s">
        <v>28</v>
      </c>
      <c r="P9" s="97" t="s">
        <v>29</v>
      </c>
      <c r="Q9" s="97" t="s">
        <v>30</v>
      </c>
      <c r="R9" s="97" t="s">
        <v>31</v>
      </c>
      <c r="S9" s="97" t="s">
        <v>32</v>
      </c>
      <c r="T9" s="97" t="s">
        <v>33</v>
      </c>
      <c r="U9" s="97" t="s">
        <v>34</v>
      </c>
      <c r="V9" s="319" t="s">
        <v>35</v>
      </c>
      <c r="W9" s="487"/>
    </row>
    <row r="10" spans="1:23" ht="15">
      <c r="A10" s="279" t="s">
        <v>61</v>
      </c>
      <c r="B10" s="279"/>
      <c r="C10" s="279"/>
      <c r="D10" s="280" t="s">
        <v>39</v>
      </c>
      <c r="E10" s="266">
        <f>SUM(F10:M10)</f>
        <v>0</v>
      </c>
      <c r="F10" s="263">
        <v>0</v>
      </c>
      <c r="G10" s="263">
        <v>0</v>
      </c>
      <c r="H10" s="263">
        <v>0</v>
      </c>
      <c r="I10" s="263">
        <v>0</v>
      </c>
      <c r="J10" s="263">
        <v>0</v>
      </c>
      <c r="K10" s="263">
        <v>0</v>
      </c>
      <c r="L10" s="263">
        <v>0</v>
      </c>
      <c r="M10" s="321">
        <v>0</v>
      </c>
      <c r="N10" s="321">
        <v>0</v>
      </c>
      <c r="O10" s="321">
        <v>0</v>
      </c>
      <c r="P10" s="321">
        <v>0</v>
      </c>
      <c r="Q10" s="321">
        <v>0</v>
      </c>
      <c r="R10" s="321">
        <v>0</v>
      </c>
      <c r="S10" s="321">
        <v>0</v>
      </c>
      <c r="T10" s="321">
        <v>0</v>
      </c>
      <c r="U10" s="321">
        <v>0</v>
      </c>
      <c r="V10" s="333">
        <v>0</v>
      </c>
      <c r="W10" s="487"/>
    </row>
    <row r="11" spans="1:23" ht="18">
      <c r="A11" s="279" t="s">
        <v>62</v>
      </c>
      <c r="B11" s="281"/>
      <c r="C11" s="281"/>
      <c r="D11" s="282" t="s">
        <v>41</v>
      </c>
      <c r="E11" s="268">
        <f>SUM(F11:M11)</f>
        <v>78252295064</v>
      </c>
      <c r="F11" s="269">
        <f>SUM(F13:F165)</f>
        <v>4445000</v>
      </c>
      <c r="G11" s="269">
        <f aca="true" t="shared" si="0" ref="G11:M11">SUM(G13:G165)</f>
        <v>777880</v>
      </c>
      <c r="H11" s="269">
        <f t="shared" si="0"/>
        <v>16364576699</v>
      </c>
      <c r="I11" s="269">
        <f t="shared" si="0"/>
        <v>0</v>
      </c>
      <c r="J11" s="269">
        <f t="shared" si="0"/>
        <v>1177506</v>
      </c>
      <c r="K11" s="269">
        <f t="shared" si="0"/>
        <v>57412971124</v>
      </c>
      <c r="L11" s="269">
        <f t="shared" si="0"/>
        <v>4458522981</v>
      </c>
      <c r="M11" s="269">
        <f t="shared" si="0"/>
        <v>9823874</v>
      </c>
      <c r="N11" s="340">
        <f>SUM(O11:V11)</f>
        <v>82088840551</v>
      </c>
      <c r="O11" s="340">
        <f>SUM(O13:O165)</f>
        <v>8997500</v>
      </c>
      <c r="P11" s="340">
        <f aca="true" t="shared" si="1" ref="P11:V11">SUM(P13:P165)</f>
        <v>1492018</v>
      </c>
      <c r="Q11" s="340">
        <f t="shared" si="1"/>
        <v>21735138409</v>
      </c>
      <c r="R11" s="340">
        <f t="shared" si="1"/>
        <v>0</v>
      </c>
      <c r="S11" s="340">
        <f t="shared" si="1"/>
        <v>62741354</v>
      </c>
      <c r="T11" s="340">
        <f t="shared" si="1"/>
        <v>54997491116</v>
      </c>
      <c r="U11" s="340">
        <f t="shared" si="1"/>
        <v>4367070988</v>
      </c>
      <c r="V11" s="340">
        <f t="shared" si="1"/>
        <v>915909166</v>
      </c>
      <c r="W11" s="487"/>
    </row>
    <row r="12" spans="1:23" ht="16.5" customHeight="1">
      <c r="A12" s="283"/>
      <c r="B12" s="472" t="s">
        <v>321</v>
      </c>
      <c r="C12" s="473"/>
      <c r="D12" s="473"/>
      <c r="E12" s="270"/>
      <c r="F12" s="271"/>
      <c r="G12" s="271"/>
      <c r="H12" s="271"/>
      <c r="I12" s="271"/>
      <c r="J12" s="271"/>
      <c r="K12" s="271"/>
      <c r="L12" s="271"/>
      <c r="M12" s="272"/>
      <c r="N12" s="328"/>
      <c r="O12" s="327"/>
      <c r="P12" s="339"/>
      <c r="Q12" s="327"/>
      <c r="R12" s="327"/>
      <c r="S12" s="327"/>
      <c r="T12" s="327"/>
      <c r="U12" s="327"/>
      <c r="V12" s="327"/>
      <c r="W12" s="324"/>
    </row>
    <row r="13" spans="1:23" ht="45" customHeight="1">
      <c r="A13" s="284"/>
      <c r="B13" s="285" t="s">
        <v>815</v>
      </c>
      <c r="C13" s="285"/>
      <c r="D13" s="286" t="s">
        <v>322</v>
      </c>
      <c r="E13" s="270">
        <f>SUM(F13:M13)</f>
        <v>1046942232</v>
      </c>
      <c r="F13" s="273">
        <v>0</v>
      </c>
      <c r="G13" s="273">
        <v>0</v>
      </c>
      <c r="H13" s="273">
        <v>159952350</v>
      </c>
      <c r="I13" s="273">
        <v>0</v>
      </c>
      <c r="J13" s="273">
        <v>0</v>
      </c>
      <c r="K13" s="273">
        <v>886989882</v>
      </c>
      <c r="L13" s="273">
        <v>0</v>
      </c>
      <c r="M13" s="272">
        <v>0</v>
      </c>
      <c r="N13" s="328">
        <f aca="true" t="shared" si="2" ref="N13:N75">SUM(O13:V13)</f>
        <v>1046942232</v>
      </c>
      <c r="O13" s="272">
        <v>0</v>
      </c>
      <c r="P13" s="327">
        <v>0</v>
      </c>
      <c r="Q13" s="273">
        <v>181570407</v>
      </c>
      <c r="R13" s="327">
        <v>0</v>
      </c>
      <c r="S13" s="273">
        <v>4203546</v>
      </c>
      <c r="T13" s="275">
        <v>861168279</v>
      </c>
      <c r="U13" s="327">
        <v>0</v>
      </c>
      <c r="V13" s="327">
        <v>0</v>
      </c>
      <c r="W13" s="344" t="s">
        <v>1078</v>
      </c>
    </row>
    <row r="14" spans="1:23" ht="45" customHeight="1">
      <c r="A14" s="283"/>
      <c r="B14" s="472" t="s">
        <v>724</v>
      </c>
      <c r="C14" s="473"/>
      <c r="D14" s="474"/>
      <c r="E14" s="270"/>
      <c r="F14" s="273"/>
      <c r="G14" s="273"/>
      <c r="H14" s="273"/>
      <c r="I14" s="273"/>
      <c r="J14" s="273"/>
      <c r="K14" s="273"/>
      <c r="L14" s="273"/>
      <c r="M14" s="272"/>
      <c r="N14" s="328"/>
      <c r="O14" s="342"/>
      <c r="P14" s="384"/>
      <c r="Q14" s="273"/>
      <c r="R14" s="273"/>
      <c r="S14" s="273"/>
      <c r="T14" s="275"/>
      <c r="U14" s="342"/>
      <c r="V14" s="327"/>
      <c r="W14" s="344"/>
    </row>
    <row r="15" spans="1:23" s="218" customFormat="1" ht="45" customHeight="1">
      <c r="A15" s="287"/>
      <c r="B15" s="285" t="s">
        <v>816</v>
      </c>
      <c r="C15" s="285"/>
      <c r="D15" s="286" t="s">
        <v>1463</v>
      </c>
      <c r="E15" s="270">
        <f>SUM(F15:M15)</f>
        <v>1108365784</v>
      </c>
      <c r="F15" s="274">
        <v>0</v>
      </c>
      <c r="G15" s="274">
        <v>0</v>
      </c>
      <c r="H15" s="274">
        <v>16242792</v>
      </c>
      <c r="I15" s="274">
        <v>0</v>
      </c>
      <c r="J15" s="274">
        <v>0</v>
      </c>
      <c r="K15" s="273">
        <v>1092122992</v>
      </c>
      <c r="L15" s="273">
        <v>0</v>
      </c>
      <c r="M15" s="272">
        <v>0</v>
      </c>
      <c r="N15" s="328">
        <f t="shared" si="2"/>
        <v>1108365784</v>
      </c>
      <c r="O15" s="327">
        <v>0</v>
      </c>
      <c r="P15" s="327">
        <v>0</v>
      </c>
      <c r="Q15" s="274">
        <v>16242792</v>
      </c>
      <c r="R15" s="327">
        <v>0</v>
      </c>
      <c r="S15" s="274">
        <v>2715179</v>
      </c>
      <c r="T15" s="275">
        <v>1089407813</v>
      </c>
      <c r="U15" s="327">
        <v>0</v>
      </c>
      <c r="V15" s="327">
        <v>0</v>
      </c>
      <c r="W15" s="345">
        <v>542002</v>
      </c>
    </row>
    <row r="16" spans="1:23" ht="45" customHeight="1">
      <c r="A16" s="283"/>
      <c r="B16" s="472" t="s">
        <v>323</v>
      </c>
      <c r="C16" s="473"/>
      <c r="D16" s="474"/>
      <c r="E16" s="270"/>
      <c r="F16" s="273"/>
      <c r="G16" s="273"/>
      <c r="H16" s="273"/>
      <c r="I16" s="273"/>
      <c r="J16" s="273"/>
      <c r="K16" s="273"/>
      <c r="L16" s="273"/>
      <c r="M16" s="272"/>
      <c r="N16" s="328"/>
      <c r="O16" s="342"/>
      <c r="P16" s="273"/>
      <c r="Q16" s="273"/>
      <c r="R16" s="273"/>
      <c r="S16" s="273"/>
      <c r="T16" s="275"/>
      <c r="U16" s="342"/>
      <c r="V16" s="327"/>
      <c r="W16" s="344"/>
    </row>
    <row r="17" spans="1:23" s="218" customFormat="1" ht="45" customHeight="1">
      <c r="A17" s="287"/>
      <c r="B17" s="288" t="s">
        <v>817</v>
      </c>
      <c r="C17" s="285"/>
      <c r="D17" s="286" t="s">
        <v>324</v>
      </c>
      <c r="E17" s="270">
        <f>SUM(F17:M17)</f>
        <v>27000000</v>
      </c>
      <c r="F17" s="274">
        <v>0</v>
      </c>
      <c r="G17" s="274">
        <v>0</v>
      </c>
      <c r="H17" s="274">
        <v>0</v>
      </c>
      <c r="I17" s="274">
        <v>0</v>
      </c>
      <c r="J17" s="274">
        <v>0</v>
      </c>
      <c r="K17" s="273">
        <v>27000000</v>
      </c>
      <c r="L17" s="273">
        <v>0</v>
      </c>
      <c r="M17" s="272">
        <v>0</v>
      </c>
      <c r="N17" s="328">
        <f t="shared" si="2"/>
        <v>8005296</v>
      </c>
      <c r="O17" s="327">
        <v>0</v>
      </c>
      <c r="P17" s="327">
        <v>0</v>
      </c>
      <c r="Q17" s="327">
        <v>0</v>
      </c>
      <c r="R17" s="327">
        <v>0</v>
      </c>
      <c r="S17" s="327">
        <v>0</v>
      </c>
      <c r="T17" s="275">
        <v>8005296</v>
      </c>
      <c r="U17" s="327">
        <v>0</v>
      </c>
      <c r="V17" s="327">
        <v>0</v>
      </c>
      <c r="W17" s="345">
        <v>542003</v>
      </c>
    </row>
    <row r="18" spans="1:23" ht="45" customHeight="1">
      <c r="A18" s="284"/>
      <c r="B18" s="472" t="s">
        <v>725</v>
      </c>
      <c r="C18" s="473"/>
      <c r="D18" s="474"/>
      <c r="E18" s="270"/>
      <c r="F18" s="273"/>
      <c r="G18" s="273"/>
      <c r="H18" s="273"/>
      <c r="I18" s="273"/>
      <c r="J18" s="273"/>
      <c r="K18" s="273"/>
      <c r="L18" s="273"/>
      <c r="M18" s="272"/>
      <c r="N18" s="328"/>
      <c r="O18" s="327"/>
      <c r="P18" s="327"/>
      <c r="Q18" s="327"/>
      <c r="R18" s="327"/>
      <c r="S18" s="327"/>
      <c r="T18" s="327"/>
      <c r="U18" s="327"/>
      <c r="V18" s="327"/>
      <c r="W18" s="344"/>
    </row>
    <row r="19" spans="1:23" ht="45" customHeight="1">
      <c r="A19" s="284"/>
      <c r="B19" s="301" t="s">
        <v>1464</v>
      </c>
      <c r="C19" s="288"/>
      <c r="D19" s="286" t="s">
        <v>698</v>
      </c>
      <c r="E19" s="270">
        <f aca="true" t="shared" si="3" ref="E19:E27">SUM(F19:M19)</f>
        <v>58735252</v>
      </c>
      <c r="F19" s="273">
        <v>0</v>
      </c>
      <c r="G19" s="273">
        <v>0</v>
      </c>
      <c r="H19" s="273">
        <v>0</v>
      </c>
      <c r="I19" s="273">
        <v>0</v>
      </c>
      <c r="J19" s="273">
        <v>0</v>
      </c>
      <c r="K19" s="273">
        <v>58735252</v>
      </c>
      <c r="L19" s="273">
        <v>0</v>
      </c>
      <c r="M19" s="272">
        <v>0</v>
      </c>
      <c r="N19" s="328">
        <f t="shared" si="2"/>
        <v>58735252</v>
      </c>
      <c r="O19" s="327">
        <v>0</v>
      </c>
      <c r="P19" s="327">
        <v>0</v>
      </c>
      <c r="Q19" s="327">
        <v>0</v>
      </c>
      <c r="R19" s="327">
        <v>0</v>
      </c>
      <c r="S19" s="273">
        <v>50188</v>
      </c>
      <c r="T19" s="275">
        <v>58685064</v>
      </c>
      <c r="U19" s="327">
        <v>0</v>
      </c>
      <c r="V19" s="327">
        <v>0</v>
      </c>
      <c r="W19" s="344">
        <v>542005</v>
      </c>
    </row>
    <row r="20" spans="1:23" ht="45" customHeight="1">
      <c r="A20" s="284"/>
      <c r="B20" s="301" t="s">
        <v>818</v>
      </c>
      <c r="C20" s="285"/>
      <c r="D20" s="286" t="s">
        <v>697</v>
      </c>
      <c r="E20" s="270">
        <f t="shared" si="3"/>
        <v>924581409</v>
      </c>
      <c r="F20" s="273">
        <v>0</v>
      </c>
      <c r="G20" s="273">
        <v>0</v>
      </c>
      <c r="H20" s="273">
        <v>13325094</v>
      </c>
      <c r="I20" s="273">
        <v>0</v>
      </c>
      <c r="J20" s="273">
        <v>0</v>
      </c>
      <c r="K20" s="273">
        <v>911256315</v>
      </c>
      <c r="L20" s="273">
        <v>0</v>
      </c>
      <c r="M20" s="272">
        <v>0</v>
      </c>
      <c r="N20" s="328">
        <f t="shared" si="2"/>
        <v>924581409</v>
      </c>
      <c r="O20" s="327">
        <v>0</v>
      </c>
      <c r="P20" s="327">
        <v>0</v>
      </c>
      <c r="Q20" s="273">
        <v>13325094</v>
      </c>
      <c r="R20" s="327">
        <v>0</v>
      </c>
      <c r="S20" s="327">
        <v>0</v>
      </c>
      <c r="T20" s="275">
        <v>911256315</v>
      </c>
      <c r="U20" s="327">
        <v>0</v>
      </c>
      <c r="V20" s="327">
        <v>0</v>
      </c>
      <c r="W20" s="344">
        <v>542006</v>
      </c>
    </row>
    <row r="21" spans="1:23" ht="45" customHeight="1">
      <c r="A21" s="287"/>
      <c r="B21" s="301" t="s">
        <v>819</v>
      </c>
      <c r="C21" s="285"/>
      <c r="D21" s="286" t="s">
        <v>689</v>
      </c>
      <c r="E21" s="270">
        <f t="shared" si="3"/>
        <v>229595272</v>
      </c>
      <c r="F21" s="274">
        <v>0</v>
      </c>
      <c r="G21" s="274">
        <v>0</v>
      </c>
      <c r="H21" s="274">
        <v>3329940</v>
      </c>
      <c r="I21" s="274">
        <v>0</v>
      </c>
      <c r="J21" s="274">
        <v>0</v>
      </c>
      <c r="K21" s="273">
        <v>226265332</v>
      </c>
      <c r="L21" s="273">
        <v>0</v>
      </c>
      <c r="M21" s="272">
        <v>0</v>
      </c>
      <c r="N21" s="328">
        <f t="shared" si="2"/>
        <v>229595272</v>
      </c>
      <c r="O21" s="327">
        <v>0</v>
      </c>
      <c r="P21" s="327">
        <v>0</v>
      </c>
      <c r="Q21" s="274">
        <v>3329940</v>
      </c>
      <c r="R21" s="327">
        <v>0</v>
      </c>
      <c r="S21" s="327">
        <v>0</v>
      </c>
      <c r="T21" s="275">
        <v>226265332</v>
      </c>
      <c r="U21" s="327">
        <v>0</v>
      </c>
      <c r="V21" s="327">
        <v>0</v>
      </c>
      <c r="W21" s="344">
        <v>542007</v>
      </c>
    </row>
    <row r="22" spans="1:23" ht="45" customHeight="1">
      <c r="A22" s="284"/>
      <c r="B22" s="301" t="s">
        <v>820</v>
      </c>
      <c r="C22" s="285"/>
      <c r="D22" s="286" t="s">
        <v>1002</v>
      </c>
      <c r="E22" s="270">
        <f t="shared" si="3"/>
        <v>140633134</v>
      </c>
      <c r="F22" s="273">
        <v>0</v>
      </c>
      <c r="G22" s="273">
        <v>0</v>
      </c>
      <c r="H22" s="273">
        <v>51722579</v>
      </c>
      <c r="I22" s="273">
        <v>0</v>
      </c>
      <c r="J22" s="273">
        <v>0</v>
      </c>
      <c r="K22" s="273">
        <v>88910555</v>
      </c>
      <c r="L22" s="273">
        <v>0</v>
      </c>
      <c r="M22" s="272">
        <v>0</v>
      </c>
      <c r="N22" s="328">
        <f t="shared" si="2"/>
        <v>140633134</v>
      </c>
      <c r="O22" s="327">
        <v>0</v>
      </c>
      <c r="P22" s="327">
        <v>0</v>
      </c>
      <c r="Q22" s="273">
        <v>51722579</v>
      </c>
      <c r="R22" s="327">
        <v>0</v>
      </c>
      <c r="S22" s="327">
        <v>0</v>
      </c>
      <c r="T22" s="275">
        <v>77710555</v>
      </c>
      <c r="U22" s="327">
        <v>0</v>
      </c>
      <c r="V22" s="327">
        <v>11200000</v>
      </c>
      <c r="W22" s="344">
        <v>542008</v>
      </c>
    </row>
    <row r="23" spans="1:23" ht="45" customHeight="1">
      <c r="A23" s="284"/>
      <c r="B23" s="301" t="s">
        <v>821</v>
      </c>
      <c r="C23" s="285"/>
      <c r="D23" s="286" t="s">
        <v>688</v>
      </c>
      <c r="E23" s="270">
        <f t="shared" si="3"/>
        <v>45110837</v>
      </c>
      <c r="F23" s="273">
        <v>0</v>
      </c>
      <c r="G23" s="273">
        <v>0</v>
      </c>
      <c r="H23" s="273">
        <v>17951348</v>
      </c>
      <c r="I23" s="273">
        <v>0</v>
      </c>
      <c r="J23" s="273">
        <v>0</v>
      </c>
      <c r="K23" s="273">
        <v>27159489</v>
      </c>
      <c r="L23" s="273">
        <v>0</v>
      </c>
      <c r="M23" s="272">
        <v>0</v>
      </c>
      <c r="N23" s="328">
        <f t="shared" si="2"/>
        <v>45110837</v>
      </c>
      <c r="O23" s="327">
        <v>0</v>
      </c>
      <c r="P23" s="327">
        <v>0</v>
      </c>
      <c r="Q23" s="273">
        <v>17951348</v>
      </c>
      <c r="R23" s="327">
        <v>0</v>
      </c>
      <c r="S23" s="327">
        <v>0</v>
      </c>
      <c r="T23" s="275">
        <v>27159489</v>
      </c>
      <c r="U23" s="327">
        <v>0</v>
      </c>
      <c r="V23" s="327">
        <v>0</v>
      </c>
      <c r="W23" s="344">
        <v>542009</v>
      </c>
    </row>
    <row r="24" spans="1:23" ht="45" customHeight="1">
      <c r="A24" s="284"/>
      <c r="B24" s="472" t="s">
        <v>1008</v>
      </c>
      <c r="C24" s="473"/>
      <c r="D24" s="474"/>
      <c r="E24" s="270"/>
      <c r="F24" s="273"/>
      <c r="G24" s="273"/>
      <c r="H24" s="273"/>
      <c r="I24" s="273"/>
      <c r="J24" s="273"/>
      <c r="K24" s="273"/>
      <c r="L24" s="273"/>
      <c r="M24" s="272"/>
      <c r="N24" s="328"/>
      <c r="O24" s="327"/>
      <c r="P24" s="327"/>
      <c r="Q24" s="327"/>
      <c r="R24" s="327"/>
      <c r="S24" s="327"/>
      <c r="T24" s="327"/>
      <c r="U24" s="327"/>
      <c r="V24" s="327"/>
      <c r="W24" s="344"/>
    </row>
    <row r="25" spans="1:23" ht="45" customHeight="1">
      <c r="A25" s="284"/>
      <c r="B25" s="301" t="s">
        <v>822</v>
      </c>
      <c r="C25" s="285"/>
      <c r="D25" s="286" t="s">
        <v>326</v>
      </c>
      <c r="E25" s="270">
        <f t="shared" si="3"/>
        <v>10000000</v>
      </c>
      <c r="F25" s="273">
        <v>0</v>
      </c>
      <c r="G25" s="273">
        <v>0</v>
      </c>
      <c r="H25" s="273">
        <v>0</v>
      </c>
      <c r="I25" s="273">
        <v>0</v>
      </c>
      <c r="J25" s="273">
        <v>0</v>
      </c>
      <c r="K25" s="273">
        <v>10000000</v>
      </c>
      <c r="L25" s="273">
        <v>0</v>
      </c>
      <c r="M25" s="272">
        <v>0</v>
      </c>
      <c r="N25" s="328">
        <f t="shared" si="2"/>
        <v>0</v>
      </c>
      <c r="O25" s="327">
        <v>0</v>
      </c>
      <c r="P25" s="327">
        <v>0</v>
      </c>
      <c r="Q25" s="327">
        <v>0</v>
      </c>
      <c r="R25" s="327">
        <v>0</v>
      </c>
      <c r="S25" s="327">
        <v>0</v>
      </c>
      <c r="T25" s="327">
        <v>0</v>
      </c>
      <c r="U25" s="327">
        <v>0</v>
      </c>
      <c r="V25" s="327">
        <v>0</v>
      </c>
      <c r="W25" s="344">
        <v>542010</v>
      </c>
    </row>
    <row r="26" spans="1:23" ht="45" customHeight="1">
      <c r="A26" s="284"/>
      <c r="B26" s="301" t="s">
        <v>823</v>
      </c>
      <c r="C26" s="285"/>
      <c r="D26" s="286" t="s">
        <v>327</v>
      </c>
      <c r="E26" s="270">
        <f t="shared" si="3"/>
        <v>977265</v>
      </c>
      <c r="F26" s="273">
        <v>0</v>
      </c>
      <c r="G26" s="273">
        <v>0</v>
      </c>
      <c r="H26" s="273">
        <v>875665</v>
      </c>
      <c r="I26" s="273">
        <v>0</v>
      </c>
      <c r="J26" s="273">
        <v>0</v>
      </c>
      <c r="K26" s="273">
        <v>101600</v>
      </c>
      <c r="L26" s="273">
        <v>0</v>
      </c>
      <c r="M26" s="272">
        <v>0</v>
      </c>
      <c r="N26" s="328">
        <f t="shared" si="2"/>
        <v>977265</v>
      </c>
      <c r="O26" s="327">
        <v>0</v>
      </c>
      <c r="P26" s="327">
        <v>0</v>
      </c>
      <c r="Q26" s="273">
        <v>875665</v>
      </c>
      <c r="R26" s="327">
        <v>0</v>
      </c>
      <c r="S26" s="327">
        <v>0</v>
      </c>
      <c r="T26" s="275">
        <v>101600</v>
      </c>
      <c r="U26" s="342"/>
      <c r="V26" s="327"/>
      <c r="W26" s="344">
        <v>542011</v>
      </c>
    </row>
    <row r="27" spans="1:23" ht="45" customHeight="1">
      <c r="A27" s="283"/>
      <c r="B27" s="301" t="s">
        <v>824</v>
      </c>
      <c r="C27" s="285"/>
      <c r="D27" s="286" t="s">
        <v>1441</v>
      </c>
      <c r="E27" s="270">
        <f t="shared" si="3"/>
        <v>63500</v>
      </c>
      <c r="F27" s="273">
        <v>0</v>
      </c>
      <c r="G27" s="273">
        <v>0</v>
      </c>
      <c r="H27" s="273">
        <v>0</v>
      </c>
      <c r="I27" s="273">
        <v>0</v>
      </c>
      <c r="J27" s="273">
        <v>0</v>
      </c>
      <c r="K27" s="273">
        <v>0</v>
      </c>
      <c r="L27" s="273">
        <v>63500</v>
      </c>
      <c r="M27" s="272">
        <v>0</v>
      </c>
      <c r="N27" s="328">
        <f t="shared" si="2"/>
        <v>63500</v>
      </c>
      <c r="O27" s="327">
        <v>0</v>
      </c>
      <c r="P27" s="327">
        <v>0</v>
      </c>
      <c r="Q27" s="327">
        <v>0</v>
      </c>
      <c r="R27" s="327">
        <v>0</v>
      </c>
      <c r="S27" s="327">
        <v>0</v>
      </c>
      <c r="T27" s="327">
        <v>0</v>
      </c>
      <c r="U27" s="342">
        <v>63500</v>
      </c>
      <c r="V27" s="327">
        <v>0</v>
      </c>
      <c r="W27" s="344">
        <v>542012</v>
      </c>
    </row>
    <row r="28" spans="1:23" s="218" customFormat="1" ht="45" customHeight="1">
      <c r="A28" s="287"/>
      <c r="B28" s="301" t="s">
        <v>825</v>
      </c>
      <c r="C28" s="285"/>
      <c r="D28" s="286" t="s">
        <v>1442</v>
      </c>
      <c r="E28" s="270">
        <f aca="true" t="shared" si="4" ref="E28:E33">SUM(F28:M28)</f>
        <v>0</v>
      </c>
      <c r="F28" s="274">
        <v>0</v>
      </c>
      <c r="G28" s="274">
        <v>0</v>
      </c>
      <c r="H28" s="274">
        <v>0</v>
      </c>
      <c r="I28" s="274">
        <v>0</v>
      </c>
      <c r="J28" s="274">
        <v>0</v>
      </c>
      <c r="K28" s="273">
        <v>0</v>
      </c>
      <c r="L28" s="273">
        <v>0</v>
      </c>
      <c r="M28" s="272">
        <v>0</v>
      </c>
      <c r="N28" s="328">
        <f t="shared" si="2"/>
        <v>0</v>
      </c>
      <c r="O28" s="327">
        <v>0</v>
      </c>
      <c r="P28" s="327">
        <v>0</v>
      </c>
      <c r="Q28" s="327">
        <v>0</v>
      </c>
      <c r="R28" s="327">
        <v>0</v>
      </c>
      <c r="S28" s="327">
        <v>0</v>
      </c>
      <c r="T28" s="327">
        <v>0</v>
      </c>
      <c r="U28" s="327">
        <v>0</v>
      </c>
      <c r="V28" s="327">
        <v>0</v>
      </c>
      <c r="W28" s="345">
        <v>542013</v>
      </c>
    </row>
    <row r="29" spans="1:23" s="218" customFormat="1" ht="90.75" customHeight="1">
      <c r="A29" s="287"/>
      <c r="B29" s="301" t="s">
        <v>826</v>
      </c>
      <c r="C29" s="285"/>
      <c r="D29" s="286" t="s">
        <v>328</v>
      </c>
      <c r="E29" s="270">
        <f t="shared" si="4"/>
        <v>601096</v>
      </c>
      <c r="F29" s="274">
        <v>0</v>
      </c>
      <c r="G29" s="274">
        <v>0</v>
      </c>
      <c r="H29" s="274">
        <v>0</v>
      </c>
      <c r="I29" s="274">
        <v>0</v>
      </c>
      <c r="J29" s="274">
        <v>0</v>
      </c>
      <c r="K29" s="273">
        <v>601096</v>
      </c>
      <c r="L29" s="273">
        <v>0</v>
      </c>
      <c r="M29" s="272">
        <v>0</v>
      </c>
      <c r="N29" s="328">
        <f t="shared" si="2"/>
        <v>0</v>
      </c>
      <c r="O29" s="327">
        <v>0</v>
      </c>
      <c r="P29" s="327">
        <v>0</v>
      </c>
      <c r="Q29" s="327">
        <v>0</v>
      </c>
      <c r="R29" s="327">
        <v>0</v>
      </c>
      <c r="S29" s="327">
        <v>0</v>
      </c>
      <c r="T29" s="327">
        <v>0</v>
      </c>
      <c r="U29" s="327">
        <v>0</v>
      </c>
      <c r="V29" s="327">
        <v>0</v>
      </c>
      <c r="W29" s="345">
        <v>542014</v>
      </c>
    </row>
    <row r="30" spans="1:23" s="218" customFormat="1" ht="45" customHeight="1">
      <c r="A30" s="287"/>
      <c r="B30" s="301" t="s">
        <v>827</v>
      </c>
      <c r="C30" s="285"/>
      <c r="D30" s="286" t="s">
        <v>329</v>
      </c>
      <c r="E30" s="270">
        <f t="shared" si="4"/>
        <v>15038987</v>
      </c>
      <c r="F30" s="274">
        <v>0</v>
      </c>
      <c r="G30" s="274">
        <v>0</v>
      </c>
      <c r="H30" s="274">
        <v>336551</v>
      </c>
      <c r="I30" s="274">
        <v>0</v>
      </c>
      <c r="J30" s="274">
        <v>0</v>
      </c>
      <c r="K30" s="273">
        <v>14588136</v>
      </c>
      <c r="L30" s="273">
        <v>114300</v>
      </c>
      <c r="M30" s="272">
        <v>0</v>
      </c>
      <c r="N30" s="328">
        <f t="shared" si="2"/>
        <v>10038987</v>
      </c>
      <c r="O30" s="327">
        <v>0</v>
      </c>
      <c r="P30" s="327">
        <v>0</v>
      </c>
      <c r="Q30" s="274">
        <v>336551</v>
      </c>
      <c r="R30" s="327">
        <v>0</v>
      </c>
      <c r="S30" s="327">
        <v>0</v>
      </c>
      <c r="T30" s="275">
        <v>9588136</v>
      </c>
      <c r="U30" s="342">
        <v>114300</v>
      </c>
      <c r="V30" s="327">
        <v>0</v>
      </c>
      <c r="W30" s="345">
        <v>542015</v>
      </c>
    </row>
    <row r="31" spans="1:23" s="218" customFormat="1" ht="71.25" customHeight="1">
      <c r="A31" s="287"/>
      <c r="B31" s="301" t="s">
        <v>828</v>
      </c>
      <c r="C31" s="285"/>
      <c r="D31" s="286" t="s">
        <v>330</v>
      </c>
      <c r="E31" s="270">
        <f t="shared" si="4"/>
        <v>6260940</v>
      </c>
      <c r="F31" s="274">
        <v>0</v>
      </c>
      <c r="G31" s="274">
        <v>0</v>
      </c>
      <c r="H31" s="274">
        <v>389382</v>
      </c>
      <c r="I31" s="274">
        <v>0</v>
      </c>
      <c r="J31" s="274">
        <v>0</v>
      </c>
      <c r="K31" s="273">
        <v>5769958</v>
      </c>
      <c r="L31" s="273">
        <v>101600</v>
      </c>
      <c r="M31" s="272">
        <v>0</v>
      </c>
      <c r="N31" s="328">
        <f t="shared" si="2"/>
        <v>6260940</v>
      </c>
      <c r="O31" s="327">
        <v>0</v>
      </c>
      <c r="P31" s="327">
        <v>0</v>
      </c>
      <c r="Q31" s="274">
        <v>389382</v>
      </c>
      <c r="R31" s="327">
        <v>0</v>
      </c>
      <c r="S31" s="274">
        <v>2279482</v>
      </c>
      <c r="T31" s="275">
        <v>3490476</v>
      </c>
      <c r="U31" s="342">
        <v>101600</v>
      </c>
      <c r="V31" s="327">
        <v>0</v>
      </c>
      <c r="W31" s="345">
        <v>542016</v>
      </c>
    </row>
    <row r="32" spans="1:23" s="218" customFormat="1" ht="71.25" customHeight="1">
      <c r="A32" s="287"/>
      <c r="B32" s="301" t="s">
        <v>829</v>
      </c>
      <c r="C32" s="285"/>
      <c r="D32" s="286" t="s">
        <v>331</v>
      </c>
      <c r="E32" s="270">
        <f t="shared" si="4"/>
        <v>248436293</v>
      </c>
      <c r="F32" s="274">
        <v>0</v>
      </c>
      <c r="G32" s="274">
        <v>0</v>
      </c>
      <c r="H32" s="274">
        <v>2633777</v>
      </c>
      <c r="I32" s="274">
        <v>0</v>
      </c>
      <c r="J32" s="274">
        <v>0</v>
      </c>
      <c r="K32" s="273">
        <v>62448842</v>
      </c>
      <c r="L32" s="273">
        <v>183353674</v>
      </c>
      <c r="M32" s="272">
        <v>0</v>
      </c>
      <c r="N32" s="328">
        <f t="shared" si="2"/>
        <v>223436293</v>
      </c>
      <c r="O32" s="327">
        <v>0</v>
      </c>
      <c r="P32" s="327">
        <v>0</v>
      </c>
      <c r="Q32" s="274">
        <v>2633777</v>
      </c>
      <c r="R32" s="327">
        <v>0</v>
      </c>
      <c r="S32" s="327">
        <v>0</v>
      </c>
      <c r="T32" s="275">
        <v>37448842</v>
      </c>
      <c r="U32" s="342">
        <v>183353674</v>
      </c>
      <c r="V32" s="327">
        <v>0</v>
      </c>
      <c r="W32" s="345">
        <v>542017</v>
      </c>
    </row>
    <row r="33" spans="1:23" s="218" customFormat="1" ht="63" customHeight="1">
      <c r="A33" s="287"/>
      <c r="B33" s="301" t="s">
        <v>830</v>
      </c>
      <c r="C33" s="285"/>
      <c r="D33" s="286" t="s">
        <v>332</v>
      </c>
      <c r="E33" s="270">
        <f t="shared" si="4"/>
        <v>309180063</v>
      </c>
      <c r="F33" s="274">
        <v>0</v>
      </c>
      <c r="G33" s="274">
        <v>0</v>
      </c>
      <c r="H33" s="274">
        <v>1699260</v>
      </c>
      <c r="I33" s="274">
        <v>0</v>
      </c>
      <c r="J33" s="274">
        <v>0</v>
      </c>
      <c r="K33" s="273">
        <v>139027415</v>
      </c>
      <c r="L33" s="273">
        <v>168453388</v>
      </c>
      <c r="M33" s="272">
        <v>0</v>
      </c>
      <c r="N33" s="328">
        <f t="shared" si="2"/>
        <v>309180063</v>
      </c>
      <c r="O33" s="327">
        <v>0</v>
      </c>
      <c r="P33" s="327">
        <v>0</v>
      </c>
      <c r="Q33" s="274">
        <v>1699260</v>
      </c>
      <c r="R33" s="327">
        <v>0</v>
      </c>
      <c r="S33" s="327">
        <v>0</v>
      </c>
      <c r="T33" s="275">
        <v>8956204</v>
      </c>
      <c r="U33" s="342">
        <v>190914203</v>
      </c>
      <c r="V33" s="327">
        <v>107610396</v>
      </c>
      <c r="W33" s="345">
        <v>542018</v>
      </c>
    </row>
    <row r="34" spans="1:23" ht="45" customHeight="1">
      <c r="A34" s="283"/>
      <c r="B34" s="472" t="s">
        <v>1000</v>
      </c>
      <c r="C34" s="473"/>
      <c r="D34" s="474"/>
      <c r="E34" s="270"/>
      <c r="F34" s="273"/>
      <c r="G34" s="273"/>
      <c r="H34" s="273"/>
      <c r="I34" s="273"/>
      <c r="J34" s="273"/>
      <c r="K34" s="273"/>
      <c r="L34" s="273"/>
      <c r="M34" s="272"/>
      <c r="N34" s="328"/>
      <c r="O34" s="327"/>
      <c r="P34" s="327"/>
      <c r="Q34" s="273"/>
      <c r="R34" s="327"/>
      <c r="S34" s="327"/>
      <c r="T34" s="327"/>
      <c r="U34" s="327"/>
      <c r="V34" s="327"/>
      <c r="W34" s="344"/>
    </row>
    <row r="35" spans="1:23" ht="45" customHeight="1">
      <c r="A35" s="284"/>
      <c r="B35" s="301" t="s">
        <v>831</v>
      </c>
      <c r="C35" s="288"/>
      <c r="D35" s="286" t="s">
        <v>726</v>
      </c>
      <c r="E35" s="270">
        <f aca="true" t="shared" si="5" ref="E35:E97">SUM(F35:M35)</f>
        <v>52512060</v>
      </c>
      <c r="F35" s="273">
        <v>0</v>
      </c>
      <c r="G35" s="273">
        <v>0</v>
      </c>
      <c r="H35" s="273">
        <v>13567300</v>
      </c>
      <c r="I35" s="273">
        <v>0</v>
      </c>
      <c r="J35" s="273">
        <v>0</v>
      </c>
      <c r="K35" s="273">
        <v>38944760</v>
      </c>
      <c r="L35" s="273">
        <v>0</v>
      </c>
      <c r="M35" s="272">
        <v>0</v>
      </c>
      <c r="N35" s="328">
        <f t="shared" si="2"/>
        <v>52512060</v>
      </c>
      <c r="O35" s="327">
        <v>0</v>
      </c>
      <c r="P35" s="327">
        <v>0</v>
      </c>
      <c r="Q35" s="273">
        <v>13593000</v>
      </c>
      <c r="R35" s="327">
        <v>0</v>
      </c>
      <c r="S35" s="327">
        <v>0</v>
      </c>
      <c r="T35" s="275">
        <v>38919060</v>
      </c>
      <c r="U35" s="327">
        <v>0</v>
      </c>
      <c r="V35" s="327">
        <v>0</v>
      </c>
      <c r="W35" s="344">
        <v>542019</v>
      </c>
    </row>
    <row r="36" spans="1:23" ht="45" customHeight="1">
      <c r="A36" s="284"/>
      <c r="B36" s="301" t="s">
        <v>832</v>
      </c>
      <c r="C36" s="288"/>
      <c r="D36" s="286" t="s">
        <v>727</v>
      </c>
      <c r="E36" s="270">
        <f t="shared" si="5"/>
        <v>690867804</v>
      </c>
      <c r="F36" s="273">
        <v>0</v>
      </c>
      <c r="G36" s="273">
        <v>0</v>
      </c>
      <c r="H36" s="273">
        <v>10684224</v>
      </c>
      <c r="I36" s="273">
        <v>0</v>
      </c>
      <c r="J36" s="273">
        <v>0</v>
      </c>
      <c r="K36" s="273">
        <v>680183580</v>
      </c>
      <c r="L36" s="273">
        <v>0</v>
      </c>
      <c r="M36" s="272">
        <v>0</v>
      </c>
      <c r="N36" s="328">
        <f t="shared" si="2"/>
        <v>672484870</v>
      </c>
      <c r="O36" s="327">
        <v>0</v>
      </c>
      <c r="P36" s="327">
        <v>0</v>
      </c>
      <c r="Q36" s="273">
        <v>10684224</v>
      </c>
      <c r="R36" s="327">
        <v>0</v>
      </c>
      <c r="S36" s="327">
        <v>0</v>
      </c>
      <c r="T36" s="275">
        <v>661800646</v>
      </c>
      <c r="U36" s="327">
        <v>0</v>
      </c>
      <c r="V36" s="327">
        <v>0</v>
      </c>
      <c r="W36" s="344">
        <v>542020</v>
      </c>
    </row>
    <row r="37" spans="1:23" ht="45" customHeight="1">
      <c r="A37" s="284"/>
      <c r="B37" s="301" t="s">
        <v>833</v>
      </c>
      <c r="C37" s="288"/>
      <c r="D37" s="286" t="s">
        <v>728</v>
      </c>
      <c r="E37" s="270">
        <f t="shared" si="5"/>
        <v>531601677</v>
      </c>
      <c r="F37" s="273">
        <v>0</v>
      </c>
      <c r="G37" s="273">
        <v>0</v>
      </c>
      <c r="H37" s="273">
        <v>5784850</v>
      </c>
      <c r="I37" s="273">
        <v>0</v>
      </c>
      <c r="J37" s="273">
        <v>0</v>
      </c>
      <c r="K37" s="273">
        <v>525816827</v>
      </c>
      <c r="L37" s="273">
        <v>0</v>
      </c>
      <c r="M37" s="272">
        <v>0</v>
      </c>
      <c r="N37" s="328">
        <f t="shared" si="2"/>
        <v>531601677</v>
      </c>
      <c r="O37" s="327">
        <v>0</v>
      </c>
      <c r="P37" s="327">
        <v>0</v>
      </c>
      <c r="Q37" s="273">
        <v>5784850</v>
      </c>
      <c r="R37" s="327">
        <v>0</v>
      </c>
      <c r="S37" s="327">
        <v>0</v>
      </c>
      <c r="T37" s="275">
        <v>525816827</v>
      </c>
      <c r="U37" s="327">
        <v>0</v>
      </c>
      <c r="V37" s="327">
        <v>0</v>
      </c>
      <c r="W37" s="344">
        <v>542021</v>
      </c>
    </row>
    <row r="38" spans="1:23" ht="45" customHeight="1">
      <c r="A38" s="283"/>
      <c r="B38" s="301" t="s">
        <v>834</v>
      </c>
      <c r="C38" s="288"/>
      <c r="D38" s="286" t="s">
        <v>1003</v>
      </c>
      <c r="E38" s="270">
        <f t="shared" si="5"/>
        <v>73549070</v>
      </c>
      <c r="F38" s="273">
        <v>0</v>
      </c>
      <c r="G38" s="273">
        <v>0</v>
      </c>
      <c r="H38" s="273">
        <v>1790774</v>
      </c>
      <c r="I38" s="273">
        <v>0</v>
      </c>
      <c r="J38" s="273">
        <v>0</v>
      </c>
      <c r="K38" s="273">
        <v>71758296</v>
      </c>
      <c r="L38" s="273">
        <v>0</v>
      </c>
      <c r="M38" s="272">
        <v>0</v>
      </c>
      <c r="N38" s="328">
        <f t="shared" si="2"/>
        <v>90905189</v>
      </c>
      <c r="O38" s="327">
        <v>0</v>
      </c>
      <c r="P38" s="327">
        <v>0</v>
      </c>
      <c r="Q38" s="273">
        <v>1790774</v>
      </c>
      <c r="R38" s="327">
        <v>0</v>
      </c>
      <c r="S38" s="327">
        <v>0</v>
      </c>
      <c r="T38" s="275">
        <v>89114415</v>
      </c>
      <c r="U38" s="327">
        <v>0</v>
      </c>
      <c r="V38" s="327">
        <v>0</v>
      </c>
      <c r="W38" s="344">
        <v>542022</v>
      </c>
    </row>
    <row r="39" spans="1:23" ht="45" customHeight="1">
      <c r="A39" s="284"/>
      <c r="B39" s="301" t="s">
        <v>835</v>
      </c>
      <c r="C39" s="288"/>
      <c r="D39" s="286" t="s">
        <v>1004</v>
      </c>
      <c r="E39" s="270">
        <f t="shared" si="5"/>
        <v>571035044</v>
      </c>
      <c r="F39" s="273">
        <v>0</v>
      </c>
      <c r="G39" s="273">
        <v>0</v>
      </c>
      <c r="H39" s="273">
        <v>9831832</v>
      </c>
      <c r="I39" s="273">
        <v>0</v>
      </c>
      <c r="J39" s="273">
        <v>0</v>
      </c>
      <c r="K39" s="273">
        <v>561203212</v>
      </c>
      <c r="L39" s="273">
        <v>0</v>
      </c>
      <c r="M39" s="272">
        <v>0</v>
      </c>
      <c r="N39" s="328">
        <f t="shared" si="2"/>
        <v>571035044</v>
      </c>
      <c r="O39" s="327">
        <v>0</v>
      </c>
      <c r="P39" s="327">
        <v>0</v>
      </c>
      <c r="Q39" s="273">
        <v>9831832</v>
      </c>
      <c r="R39" s="327">
        <v>0</v>
      </c>
      <c r="S39" s="327">
        <v>0</v>
      </c>
      <c r="T39" s="275">
        <v>561203212</v>
      </c>
      <c r="U39" s="327">
        <v>0</v>
      </c>
      <c r="V39" s="327">
        <v>0</v>
      </c>
      <c r="W39" s="344">
        <v>542023</v>
      </c>
    </row>
    <row r="40" spans="1:23" ht="45" customHeight="1">
      <c r="A40" s="284"/>
      <c r="B40" s="472" t="s">
        <v>1390</v>
      </c>
      <c r="C40" s="473"/>
      <c r="D40" s="474"/>
      <c r="E40" s="270"/>
      <c r="F40" s="273"/>
      <c r="G40" s="273"/>
      <c r="H40" s="273"/>
      <c r="I40" s="273"/>
      <c r="J40" s="273"/>
      <c r="K40" s="273"/>
      <c r="L40" s="273"/>
      <c r="M40" s="272"/>
      <c r="N40" s="328"/>
      <c r="O40" s="327"/>
      <c r="P40" s="327"/>
      <c r="Q40" s="273"/>
      <c r="R40" s="327"/>
      <c r="S40" s="327"/>
      <c r="T40" s="275"/>
      <c r="U40" s="327"/>
      <c r="V40" s="327"/>
      <c r="W40" s="344"/>
    </row>
    <row r="41" spans="1:23" ht="45" customHeight="1">
      <c r="A41" s="284"/>
      <c r="B41" s="301" t="s">
        <v>836</v>
      </c>
      <c r="C41" s="288"/>
      <c r="D41" s="286" t="s">
        <v>1391</v>
      </c>
      <c r="E41" s="270">
        <f t="shared" si="5"/>
        <v>0</v>
      </c>
      <c r="F41" s="273">
        <v>0</v>
      </c>
      <c r="G41" s="273">
        <v>0</v>
      </c>
      <c r="H41" s="273">
        <v>0</v>
      </c>
      <c r="I41" s="273">
        <v>0</v>
      </c>
      <c r="J41" s="273">
        <v>0</v>
      </c>
      <c r="K41" s="273">
        <v>0</v>
      </c>
      <c r="L41" s="273">
        <v>0</v>
      </c>
      <c r="M41" s="272">
        <v>0</v>
      </c>
      <c r="N41" s="328">
        <f t="shared" si="2"/>
        <v>1049870421</v>
      </c>
      <c r="O41" s="327">
        <v>0</v>
      </c>
      <c r="P41" s="327">
        <v>0</v>
      </c>
      <c r="Q41" s="273">
        <v>12772390</v>
      </c>
      <c r="R41" s="327">
        <v>0</v>
      </c>
      <c r="S41" s="327">
        <v>0</v>
      </c>
      <c r="T41" s="275">
        <v>1037098031</v>
      </c>
      <c r="U41" s="327">
        <v>0</v>
      </c>
      <c r="V41" s="327">
        <v>0</v>
      </c>
      <c r="W41" s="344" t="s">
        <v>1394</v>
      </c>
    </row>
    <row r="42" spans="1:23" ht="45" customHeight="1">
      <c r="A42" s="284"/>
      <c r="B42" s="301" t="s">
        <v>837</v>
      </c>
      <c r="C42" s="288"/>
      <c r="D42" s="286" t="s">
        <v>1392</v>
      </c>
      <c r="E42" s="270">
        <f t="shared" si="5"/>
        <v>0</v>
      </c>
      <c r="F42" s="273">
        <v>0</v>
      </c>
      <c r="G42" s="273">
        <v>0</v>
      </c>
      <c r="H42" s="273">
        <v>0</v>
      </c>
      <c r="I42" s="273">
        <v>0</v>
      </c>
      <c r="J42" s="273">
        <v>0</v>
      </c>
      <c r="K42" s="273">
        <v>0</v>
      </c>
      <c r="L42" s="273">
        <v>0</v>
      </c>
      <c r="M42" s="272">
        <v>0</v>
      </c>
      <c r="N42" s="328">
        <f t="shared" si="2"/>
        <v>1049870421</v>
      </c>
      <c r="O42" s="327">
        <v>0</v>
      </c>
      <c r="P42" s="327">
        <v>0</v>
      </c>
      <c r="Q42" s="273">
        <v>12772390</v>
      </c>
      <c r="R42" s="327">
        <v>0</v>
      </c>
      <c r="S42" s="327">
        <v>0</v>
      </c>
      <c r="T42" s="275">
        <v>1037098031</v>
      </c>
      <c r="U42" s="327">
        <v>0</v>
      </c>
      <c r="V42" s="327">
        <v>0</v>
      </c>
      <c r="W42" s="344">
        <v>542133</v>
      </c>
    </row>
    <row r="43" spans="1:23" ht="45" customHeight="1">
      <c r="A43" s="284"/>
      <c r="B43" s="301" t="s">
        <v>838</v>
      </c>
      <c r="C43" s="288"/>
      <c r="D43" s="286" t="s">
        <v>1393</v>
      </c>
      <c r="E43" s="270">
        <f t="shared" si="5"/>
        <v>0</v>
      </c>
      <c r="F43" s="273">
        <v>0</v>
      </c>
      <c r="G43" s="273">
        <v>0</v>
      </c>
      <c r="H43" s="273">
        <v>0</v>
      </c>
      <c r="I43" s="273">
        <v>0</v>
      </c>
      <c r="J43" s="273">
        <v>0</v>
      </c>
      <c r="K43" s="273">
        <v>0</v>
      </c>
      <c r="L43" s="273">
        <v>0</v>
      </c>
      <c r="M43" s="272">
        <v>0</v>
      </c>
      <c r="N43" s="328">
        <f t="shared" si="2"/>
        <v>1192161971</v>
      </c>
      <c r="O43" s="327">
        <v>0</v>
      </c>
      <c r="P43" s="327">
        <v>0</v>
      </c>
      <c r="Q43" s="273">
        <v>12772390</v>
      </c>
      <c r="R43" s="327">
        <v>0</v>
      </c>
      <c r="S43" s="327">
        <v>0</v>
      </c>
      <c r="T43" s="275">
        <v>1179389581</v>
      </c>
      <c r="U43" s="327">
        <v>0</v>
      </c>
      <c r="V43" s="327">
        <v>0</v>
      </c>
      <c r="W43" s="344" t="s">
        <v>1395</v>
      </c>
    </row>
    <row r="44" spans="1:23" ht="45">
      <c r="A44" s="284"/>
      <c r="B44" s="301" t="s">
        <v>839</v>
      </c>
      <c r="C44" s="288"/>
      <c r="D44" s="286" t="s">
        <v>1505</v>
      </c>
      <c r="E44" s="270">
        <f t="shared" si="5"/>
        <v>0</v>
      </c>
      <c r="F44" s="273">
        <v>0</v>
      </c>
      <c r="G44" s="273">
        <v>0</v>
      </c>
      <c r="H44" s="273">
        <v>0</v>
      </c>
      <c r="I44" s="273">
        <v>0</v>
      </c>
      <c r="J44" s="273">
        <v>0</v>
      </c>
      <c r="K44" s="273">
        <v>0</v>
      </c>
      <c r="L44" s="273">
        <v>0</v>
      </c>
      <c r="M44" s="272">
        <v>0</v>
      </c>
      <c r="N44" s="328">
        <f t="shared" si="2"/>
        <v>0</v>
      </c>
      <c r="O44" s="327">
        <v>0</v>
      </c>
      <c r="P44" s="327">
        <v>0</v>
      </c>
      <c r="Q44" s="327">
        <v>0</v>
      </c>
      <c r="R44" s="327">
        <v>0</v>
      </c>
      <c r="S44" s="327">
        <v>0</v>
      </c>
      <c r="T44" s="327">
        <v>0</v>
      </c>
      <c r="U44" s="327">
        <v>0</v>
      </c>
      <c r="V44" s="327">
        <v>0</v>
      </c>
      <c r="W44" s="344" t="s">
        <v>1396</v>
      </c>
    </row>
    <row r="45" spans="1:23" ht="45" customHeight="1">
      <c r="A45" s="284"/>
      <c r="B45" s="472" t="s">
        <v>333</v>
      </c>
      <c r="C45" s="473"/>
      <c r="D45" s="474"/>
      <c r="E45" s="270"/>
      <c r="F45" s="273"/>
      <c r="G45" s="273"/>
      <c r="H45" s="273"/>
      <c r="I45" s="273"/>
      <c r="J45" s="273"/>
      <c r="K45" s="273"/>
      <c r="L45" s="273"/>
      <c r="M45" s="272"/>
      <c r="N45" s="328"/>
      <c r="O45" s="327"/>
      <c r="P45" s="327"/>
      <c r="Q45" s="327"/>
      <c r="R45" s="327"/>
      <c r="S45" s="327"/>
      <c r="T45" s="327"/>
      <c r="U45" s="327"/>
      <c r="V45" s="327"/>
      <c r="W45" s="344"/>
    </row>
    <row r="46" spans="1:23" ht="45" customHeight="1">
      <c r="A46" s="284"/>
      <c r="B46" s="301" t="s">
        <v>840</v>
      </c>
      <c r="C46" s="289"/>
      <c r="D46" s="289" t="s">
        <v>334</v>
      </c>
      <c r="E46" s="270">
        <f t="shared" si="5"/>
        <v>333216086</v>
      </c>
      <c r="F46" s="273">
        <v>0</v>
      </c>
      <c r="G46" s="273">
        <v>0</v>
      </c>
      <c r="H46" s="273">
        <v>8651748</v>
      </c>
      <c r="I46" s="273">
        <v>0</v>
      </c>
      <c r="J46" s="273">
        <v>0</v>
      </c>
      <c r="K46" s="273">
        <v>324564338</v>
      </c>
      <c r="L46" s="273">
        <v>0</v>
      </c>
      <c r="M46" s="272">
        <v>0</v>
      </c>
      <c r="N46" s="328">
        <f t="shared" si="2"/>
        <v>342651386</v>
      </c>
      <c r="O46" s="327">
        <v>0</v>
      </c>
      <c r="P46" s="327">
        <v>0</v>
      </c>
      <c r="Q46" s="273">
        <v>8651748</v>
      </c>
      <c r="R46" s="327">
        <v>0</v>
      </c>
      <c r="S46" s="327">
        <v>0</v>
      </c>
      <c r="T46" s="275">
        <v>333999638</v>
      </c>
      <c r="U46" s="327">
        <v>0</v>
      </c>
      <c r="V46" s="327">
        <v>0</v>
      </c>
      <c r="W46" s="344">
        <v>542024</v>
      </c>
    </row>
    <row r="47" spans="1:23" s="218" customFormat="1" ht="45" customHeight="1">
      <c r="A47" s="287"/>
      <c r="B47" s="301" t="s">
        <v>841</v>
      </c>
      <c r="C47" s="288"/>
      <c r="D47" s="286" t="s">
        <v>335</v>
      </c>
      <c r="E47" s="270">
        <f t="shared" si="5"/>
        <v>1499292703</v>
      </c>
      <c r="F47" s="274">
        <v>0</v>
      </c>
      <c r="G47" s="274">
        <v>0</v>
      </c>
      <c r="H47" s="274">
        <v>30752542</v>
      </c>
      <c r="I47" s="274">
        <v>0</v>
      </c>
      <c r="J47" s="274">
        <v>0</v>
      </c>
      <c r="K47" s="273">
        <v>1468540161</v>
      </c>
      <c r="L47" s="273">
        <v>0</v>
      </c>
      <c r="M47" s="272">
        <v>0</v>
      </c>
      <c r="N47" s="328">
        <f t="shared" si="2"/>
        <v>1557234666</v>
      </c>
      <c r="O47" s="327">
        <v>0</v>
      </c>
      <c r="P47" s="327">
        <v>0</v>
      </c>
      <c r="Q47" s="274">
        <v>34259975</v>
      </c>
      <c r="R47" s="327">
        <v>0</v>
      </c>
      <c r="S47" s="327">
        <v>0</v>
      </c>
      <c r="T47" s="275">
        <v>1498735776</v>
      </c>
      <c r="U47" s="342">
        <v>24238915</v>
      </c>
      <c r="V47" s="327"/>
      <c r="W47" s="345">
        <v>542025</v>
      </c>
    </row>
    <row r="48" spans="1:23" ht="45" customHeight="1">
      <c r="A48" s="284"/>
      <c r="B48" s="301" t="s">
        <v>842</v>
      </c>
      <c r="C48" s="288"/>
      <c r="D48" s="286" t="s">
        <v>336</v>
      </c>
      <c r="E48" s="270">
        <f t="shared" si="5"/>
        <v>29169528</v>
      </c>
      <c r="F48" s="273">
        <v>0</v>
      </c>
      <c r="G48" s="273">
        <v>0</v>
      </c>
      <c r="H48" s="273">
        <v>1109472</v>
      </c>
      <c r="I48" s="273">
        <v>0</v>
      </c>
      <c r="J48" s="273">
        <v>0</v>
      </c>
      <c r="K48" s="273">
        <v>28060056</v>
      </c>
      <c r="L48" s="273">
        <v>0</v>
      </c>
      <c r="M48" s="272">
        <v>0</v>
      </c>
      <c r="N48" s="328">
        <f t="shared" si="2"/>
        <v>4169528</v>
      </c>
      <c r="O48" s="327">
        <v>0</v>
      </c>
      <c r="P48" s="327">
        <v>0</v>
      </c>
      <c r="Q48" s="273">
        <v>1109472</v>
      </c>
      <c r="R48" s="327">
        <v>0</v>
      </c>
      <c r="S48" s="327">
        <v>0</v>
      </c>
      <c r="T48" s="275">
        <v>3060056</v>
      </c>
      <c r="U48" s="327">
        <v>0</v>
      </c>
      <c r="V48" s="327">
        <v>0</v>
      </c>
      <c r="W48" s="344">
        <v>542026</v>
      </c>
    </row>
    <row r="49" spans="1:23" ht="45" customHeight="1">
      <c r="A49" s="284"/>
      <c r="B49" s="301" t="s">
        <v>843</v>
      </c>
      <c r="C49" s="288"/>
      <c r="D49" s="286" t="s">
        <v>337</v>
      </c>
      <c r="E49" s="270">
        <f t="shared" si="5"/>
        <v>20000000</v>
      </c>
      <c r="F49" s="273">
        <v>0</v>
      </c>
      <c r="G49" s="273">
        <v>0</v>
      </c>
      <c r="H49" s="273">
        <v>0</v>
      </c>
      <c r="I49" s="273">
        <v>0</v>
      </c>
      <c r="J49" s="273">
        <v>0</v>
      </c>
      <c r="K49" s="273">
        <v>20000000</v>
      </c>
      <c r="L49" s="273">
        <v>0</v>
      </c>
      <c r="M49" s="272">
        <v>0</v>
      </c>
      <c r="N49" s="328">
        <f t="shared" si="2"/>
        <v>0</v>
      </c>
      <c r="O49" s="327">
        <v>0</v>
      </c>
      <c r="P49" s="327">
        <v>0</v>
      </c>
      <c r="Q49" s="327">
        <v>0</v>
      </c>
      <c r="R49" s="327">
        <v>0</v>
      </c>
      <c r="S49" s="327">
        <v>0</v>
      </c>
      <c r="T49" s="327">
        <v>0</v>
      </c>
      <c r="U49" s="327">
        <v>0</v>
      </c>
      <c r="V49" s="327">
        <v>0</v>
      </c>
      <c r="W49" s="344">
        <v>542027</v>
      </c>
    </row>
    <row r="50" spans="1:23" ht="45" customHeight="1">
      <c r="A50" s="284"/>
      <c r="B50" s="301" t="s">
        <v>844</v>
      </c>
      <c r="C50" s="288"/>
      <c r="D50" s="286" t="s">
        <v>338</v>
      </c>
      <c r="E50" s="270">
        <f t="shared" si="5"/>
        <v>62506477</v>
      </c>
      <c r="F50" s="273">
        <v>0</v>
      </c>
      <c r="G50" s="273">
        <v>0</v>
      </c>
      <c r="H50" s="273">
        <v>4572559</v>
      </c>
      <c r="I50" s="273">
        <v>0</v>
      </c>
      <c r="J50" s="273">
        <v>0</v>
      </c>
      <c r="K50" s="273">
        <v>57933918</v>
      </c>
      <c r="L50" s="273">
        <v>0</v>
      </c>
      <c r="M50" s="272">
        <v>0</v>
      </c>
      <c r="N50" s="328">
        <f t="shared" si="2"/>
        <v>62762686</v>
      </c>
      <c r="O50" s="327">
        <v>0</v>
      </c>
      <c r="P50" s="327">
        <v>0</v>
      </c>
      <c r="Q50" s="273">
        <v>4572559</v>
      </c>
      <c r="R50" s="327">
        <v>0</v>
      </c>
      <c r="S50" s="273">
        <v>256209</v>
      </c>
      <c r="T50" s="275">
        <v>57933918</v>
      </c>
      <c r="U50" s="327">
        <v>0</v>
      </c>
      <c r="V50" s="327">
        <v>0</v>
      </c>
      <c r="W50" s="344">
        <v>542028</v>
      </c>
    </row>
    <row r="51" spans="1:23" ht="45" customHeight="1">
      <c r="A51" s="284"/>
      <c r="B51" s="301" t="s">
        <v>845</v>
      </c>
      <c r="C51" s="288"/>
      <c r="D51" s="286" t="s">
        <v>339</v>
      </c>
      <c r="E51" s="270">
        <f t="shared" si="5"/>
        <v>626452233</v>
      </c>
      <c r="F51" s="273">
        <v>0</v>
      </c>
      <c r="G51" s="273">
        <v>0</v>
      </c>
      <c r="H51" s="273">
        <v>8701634</v>
      </c>
      <c r="I51" s="273">
        <v>0</v>
      </c>
      <c r="J51" s="273">
        <v>0</v>
      </c>
      <c r="K51" s="273">
        <v>617750599</v>
      </c>
      <c r="L51" s="273">
        <v>0</v>
      </c>
      <c r="M51" s="272">
        <v>0</v>
      </c>
      <c r="N51" s="328">
        <f t="shared" si="2"/>
        <v>589452233</v>
      </c>
      <c r="O51" s="327">
        <v>0</v>
      </c>
      <c r="P51" s="327">
        <v>0</v>
      </c>
      <c r="Q51" s="273">
        <v>8701634</v>
      </c>
      <c r="R51" s="327">
        <v>0</v>
      </c>
      <c r="S51" s="327">
        <v>0</v>
      </c>
      <c r="T51" s="275">
        <v>580750599</v>
      </c>
      <c r="U51" s="327">
        <v>0</v>
      </c>
      <c r="V51" s="327">
        <v>0</v>
      </c>
      <c r="W51" s="344">
        <v>542029</v>
      </c>
    </row>
    <row r="52" spans="1:23" ht="45" customHeight="1">
      <c r="A52" s="284"/>
      <c r="B52" s="472" t="s">
        <v>729</v>
      </c>
      <c r="C52" s="473"/>
      <c r="D52" s="474"/>
      <c r="E52" s="270"/>
      <c r="F52" s="273"/>
      <c r="G52" s="273"/>
      <c r="H52" s="273"/>
      <c r="I52" s="273"/>
      <c r="J52" s="273"/>
      <c r="K52" s="273"/>
      <c r="L52" s="273"/>
      <c r="M52" s="272"/>
      <c r="N52" s="328"/>
      <c r="O52" s="327"/>
      <c r="P52" s="327"/>
      <c r="Q52" s="327"/>
      <c r="R52" s="327"/>
      <c r="S52" s="327"/>
      <c r="T52" s="327"/>
      <c r="U52" s="327"/>
      <c r="V52" s="327"/>
      <c r="W52" s="344"/>
    </row>
    <row r="53" spans="1:23" ht="45" customHeight="1">
      <c r="A53" s="284"/>
      <c r="B53" s="301" t="s">
        <v>846</v>
      </c>
      <c r="C53" s="289"/>
      <c r="D53" s="290" t="s">
        <v>766</v>
      </c>
      <c r="E53" s="270">
        <f t="shared" si="5"/>
        <v>153949228</v>
      </c>
      <c r="F53" s="273">
        <v>0</v>
      </c>
      <c r="G53" s="273">
        <v>0</v>
      </c>
      <c r="H53" s="273">
        <v>3271676</v>
      </c>
      <c r="I53" s="273">
        <v>0</v>
      </c>
      <c r="J53" s="273">
        <v>0</v>
      </c>
      <c r="K53" s="273">
        <v>150677552</v>
      </c>
      <c r="L53" s="273">
        <v>0</v>
      </c>
      <c r="M53" s="272">
        <v>0</v>
      </c>
      <c r="N53" s="328">
        <f t="shared" si="2"/>
        <v>123349228</v>
      </c>
      <c r="O53" s="327">
        <v>0</v>
      </c>
      <c r="P53" s="327">
        <v>0</v>
      </c>
      <c r="Q53" s="273">
        <v>3271676</v>
      </c>
      <c r="R53" s="327">
        <v>0</v>
      </c>
      <c r="S53" s="327">
        <v>0</v>
      </c>
      <c r="T53" s="275">
        <v>120077552</v>
      </c>
      <c r="U53" s="327">
        <v>0</v>
      </c>
      <c r="V53" s="327">
        <v>0</v>
      </c>
      <c r="W53" s="344">
        <v>542030</v>
      </c>
    </row>
    <row r="54" spans="1:23" ht="45" customHeight="1">
      <c r="A54" s="284"/>
      <c r="B54" s="301" t="s">
        <v>847</v>
      </c>
      <c r="C54" s="288"/>
      <c r="D54" s="290" t="s">
        <v>767</v>
      </c>
      <c r="E54" s="270">
        <f t="shared" si="5"/>
        <v>722510805</v>
      </c>
      <c r="F54" s="273">
        <v>0</v>
      </c>
      <c r="G54" s="273">
        <v>0</v>
      </c>
      <c r="H54" s="273">
        <v>10644124</v>
      </c>
      <c r="I54" s="273">
        <v>0</v>
      </c>
      <c r="J54" s="273">
        <v>0</v>
      </c>
      <c r="K54" s="273">
        <v>711866681</v>
      </c>
      <c r="L54" s="273">
        <v>0</v>
      </c>
      <c r="M54" s="272">
        <v>0</v>
      </c>
      <c r="N54" s="328">
        <f t="shared" si="2"/>
        <v>671910805</v>
      </c>
      <c r="O54" s="327">
        <v>0</v>
      </c>
      <c r="P54" s="327">
        <v>0</v>
      </c>
      <c r="Q54" s="273">
        <v>10644124</v>
      </c>
      <c r="R54" s="327">
        <v>0</v>
      </c>
      <c r="S54" s="327">
        <v>0</v>
      </c>
      <c r="T54" s="275">
        <v>661266681</v>
      </c>
      <c r="U54" s="327">
        <v>0</v>
      </c>
      <c r="V54" s="327">
        <v>0</v>
      </c>
      <c r="W54" s="344">
        <v>542031</v>
      </c>
    </row>
    <row r="55" spans="1:23" ht="45" customHeight="1">
      <c r="A55" s="284"/>
      <c r="B55" s="301" t="s">
        <v>848</v>
      </c>
      <c r="C55" s="288"/>
      <c r="D55" s="290" t="s">
        <v>768</v>
      </c>
      <c r="E55" s="270">
        <f t="shared" si="5"/>
        <v>895176235</v>
      </c>
      <c r="F55" s="273">
        <v>0</v>
      </c>
      <c r="G55" s="273">
        <v>0</v>
      </c>
      <c r="H55" s="273">
        <v>13140944</v>
      </c>
      <c r="I55" s="273">
        <v>0</v>
      </c>
      <c r="J55" s="273">
        <v>0</v>
      </c>
      <c r="K55" s="273">
        <v>882035291</v>
      </c>
      <c r="L55" s="273">
        <v>0</v>
      </c>
      <c r="M55" s="272">
        <v>0</v>
      </c>
      <c r="N55" s="328">
        <f t="shared" si="2"/>
        <v>881216415</v>
      </c>
      <c r="O55" s="327">
        <v>0</v>
      </c>
      <c r="P55" s="327">
        <v>0</v>
      </c>
      <c r="Q55" s="273">
        <v>13154944</v>
      </c>
      <c r="R55" s="327">
        <v>0</v>
      </c>
      <c r="S55" s="327">
        <v>0</v>
      </c>
      <c r="T55" s="275">
        <v>868061471</v>
      </c>
      <c r="U55" s="327">
        <v>0</v>
      </c>
      <c r="V55" s="327">
        <v>0</v>
      </c>
      <c r="W55" s="344">
        <v>542032</v>
      </c>
    </row>
    <row r="56" spans="1:23" s="218" customFormat="1" ht="45" customHeight="1">
      <c r="A56" s="287"/>
      <c r="B56" s="301" t="s">
        <v>849</v>
      </c>
      <c r="C56" s="288"/>
      <c r="D56" s="290" t="s">
        <v>769</v>
      </c>
      <c r="E56" s="270">
        <f t="shared" si="5"/>
        <v>644505842</v>
      </c>
      <c r="F56" s="274">
        <v>0</v>
      </c>
      <c r="G56" s="274">
        <v>0</v>
      </c>
      <c r="H56" s="274">
        <v>5981824</v>
      </c>
      <c r="I56" s="274">
        <v>0</v>
      </c>
      <c r="J56" s="274">
        <v>0</v>
      </c>
      <c r="K56" s="273">
        <v>638524018</v>
      </c>
      <c r="L56" s="273">
        <v>0</v>
      </c>
      <c r="M56" s="272">
        <v>0</v>
      </c>
      <c r="N56" s="328">
        <f t="shared" si="2"/>
        <v>537905842</v>
      </c>
      <c r="O56" s="327">
        <v>0</v>
      </c>
      <c r="P56" s="327">
        <v>0</v>
      </c>
      <c r="Q56" s="274">
        <v>6095824</v>
      </c>
      <c r="R56" s="327">
        <v>0</v>
      </c>
      <c r="S56" s="327">
        <v>0</v>
      </c>
      <c r="T56" s="275">
        <v>531810018</v>
      </c>
      <c r="U56" s="327">
        <v>0</v>
      </c>
      <c r="V56" s="327">
        <v>0</v>
      </c>
      <c r="W56" s="345">
        <v>542033</v>
      </c>
    </row>
    <row r="57" spans="1:23" ht="45" customHeight="1">
      <c r="A57" s="284"/>
      <c r="B57" s="301" t="s">
        <v>850</v>
      </c>
      <c r="C57" s="288"/>
      <c r="D57" s="290" t="s">
        <v>770</v>
      </c>
      <c r="E57" s="270">
        <f t="shared" si="5"/>
        <v>333974303</v>
      </c>
      <c r="F57" s="273">
        <v>0</v>
      </c>
      <c r="G57" s="273">
        <v>0</v>
      </c>
      <c r="H57" s="273">
        <v>6865874</v>
      </c>
      <c r="I57" s="273">
        <v>0</v>
      </c>
      <c r="J57" s="273">
        <v>0</v>
      </c>
      <c r="K57" s="273">
        <v>327108429</v>
      </c>
      <c r="L57" s="273">
        <v>0</v>
      </c>
      <c r="M57" s="272">
        <v>0</v>
      </c>
      <c r="N57" s="328">
        <f t="shared" si="2"/>
        <v>280974303</v>
      </c>
      <c r="O57" s="327">
        <v>0</v>
      </c>
      <c r="P57" s="327">
        <v>0</v>
      </c>
      <c r="Q57" s="273">
        <v>6865874</v>
      </c>
      <c r="R57" s="327">
        <v>0</v>
      </c>
      <c r="S57" s="327">
        <v>0</v>
      </c>
      <c r="T57" s="275">
        <v>274108429</v>
      </c>
      <c r="U57" s="327">
        <v>0</v>
      </c>
      <c r="V57" s="327">
        <v>0</v>
      </c>
      <c r="W57" s="344">
        <v>542034</v>
      </c>
    </row>
    <row r="58" spans="1:23" ht="45" customHeight="1">
      <c r="A58" s="284"/>
      <c r="B58" s="472" t="s">
        <v>340</v>
      </c>
      <c r="C58" s="473"/>
      <c r="D58" s="474"/>
      <c r="E58" s="270"/>
      <c r="F58" s="273"/>
      <c r="G58" s="273"/>
      <c r="H58" s="273"/>
      <c r="I58" s="273"/>
      <c r="J58" s="273"/>
      <c r="K58" s="273"/>
      <c r="L58" s="273"/>
      <c r="M58" s="272"/>
      <c r="N58" s="328"/>
      <c r="O58" s="327"/>
      <c r="P58" s="327"/>
      <c r="Q58" s="327"/>
      <c r="R58" s="327"/>
      <c r="S58" s="327"/>
      <c r="T58" s="327"/>
      <c r="U58" s="327"/>
      <c r="V58" s="327"/>
      <c r="W58" s="344"/>
    </row>
    <row r="59" spans="1:23" ht="45" customHeight="1">
      <c r="A59" s="284"/>
      <c r="B59" s="301" t="s">
        <v>851</v>
      </c>
      <c r="C59" s="288"/>
      <c r="D59" s="286" t="s">
        <v>341</v>
      </c>
      <c r="E59" s="270">
        <f t="shared" si="5"/>
        <v>517398</v>
      </c>
      <c r="F59" s="273">
        <v>0</v>
      </c>
      <c r="G59" s="273">
        <v>0</v>
      </c>
      <c r="H59" s="273">
        <v>517398</v>
      </c>
      <c r="I59" s="273">
        <v>0</v>
      </c>
      <c r="J59" s="273">
        <v>0</v>
      </c>
      <c r="K59" s="273">
        <v>0</v>
      </c>
      <c r="L59" s="273">
        <v>0</v>
      </c>
      <c r="M59" s="272">
        <v>0</v>
      </c>
      <c r="N59" s="328">
        <f t="shared" si="2"/>
        <v>517398</v>
      </c>
      <c r="O59" s="327">
        <v>0</v>
      </c>
      <c r="P59" s="327">
        <v>0</v>
      </c>
      <c r="Q59" s="273">
        <v>517398</v>
      </c>
      <c r="R59" s="327">
        <v>0</v>
      </c>
      <c r="S59" s="327">
        <v>0</v>
      </c>
      <c r="T59" s="327">
        <v>0</v>
      </c>
      <c r="U59" s="327">
        <v>0</v>
      </c>
      <c r="V59" s="327">
        <v>0</v>
      </c>
      <c r="W59" s="344">
        <v>542035</v>
      </c>
    </row>
    <row r="60" spans="1:23" ht="45" customHeight="1">
      <c r="A60" s="284"/>
      <c r="B60" s="301" t="s">
        <v>852</v>
      </c>
      <c r="C60" s="288"/>
      <c r="D60" s="286" t="s">
        <v>342</v>
      </c>
      <c r="E60" s="270">
        <f t="shared" si="5"/>
        <v>516486600</v>
      </c>
      <c r="F60" s="273">
        <v>0</v>
      </c>
      <c r="G60" s="273">
        <v>0</v>
      </c>
      <c r="H60" s="273">
        <v>12335510</v>
      </c>
      <c r="I60" s="273">
        <v>0</v>
      </c>
      <c r="J60" s="273">
        <v>0</v>
      </c>
      <c r="K60" s="273">
        <v>504151090</v>
      </c>
      <c r="L60" s="273">
        <v>0</v>
      </c>
      <c r="M60" s="272">
        <v>0</v>
      </c>
      <c r="N60" s="328">
        <f t="shared" si="2"/>
        <v>615933408</v>
      </c>
      <c r="O60" s="327">
        <v>0</v>
      </c>
      <c r="P60" s="327">
        <v>0</v>
      </c>
      <c r="Q60" s="273">
        <v>38173132</v>
      </c>
      <c r="R60" s="327">
        <v>0</v>
      </c>
      <c r="S60" s="327">
        <v>0</v>
      </c>
      <c r="T60" s="275">
        <v>102419545</v>
      </c>
      <c r="U60" s="342"/>
      <c r="V60" s="327">
        <v>475340731</v>
      </c>
      <c r="W60" s="344">
        <v>542036</v>
      </c>
    </row>
    <row r="61" spans="1:23" ht="45" customHeight="1">
      <c r="A61" s="284"/>
      <c r="B61" s="301" t="s">
        <v>853</v>
      </c>
      <c r="C61" s="288"/>
      <c r="D61" s="286" t="s">
        <v>343</v>
      </c>
      <c r="E61" s="270">
        <f t="shared" si="5"/>
        <v>94088666</v>
      </c>
      <c r="F61" s="273">
        <v>0</v>
      </c>
      <c r="G61" s="273">
        <v>0</v>
      </c>
      <c r="H61" s="273">
        <v>11639043</v>
      </c>
      <c r="I61" s="273">
        <v>0</v>
      </c>
      <c r="J61" s="273">
        <v>0</v>
      </c>
      <c r="K61" s="273">
        <v>82449623</v>
      </c>
      <c r="L61" s="273">
        <v>0</v>
      </c>
      <c r="M61" s="272">
        <v>0</v>
      </c>
      <c r="N61" s="328">
        <f t="shared" si="2"/>
        <v>94088666</v>
      </c>
      <c r="O61" s="327">
        <v>0</v>
      </c>
      <c r="P61" s="327">
        <v>0</v>
      </c>
      <c r="Q61" s="273">
        <v>26453224</v>
      </c>
      <c r="R61" s="327">
        <v>0</v>
      </c>
      <c r="S61" s="273"/>
      <c r="T61" s="275">
        <v>67635442</v>
      </c>
      <c r="U61" s="327">
        <v>0</v>
      </c>
      <c r="V61" s="327">
        <v>0</v>
      </c>
      <c r="W61" s="344">
        <v>542037</v>
      </c>
    </row>
    <row r="62" spans="1:23" ht="45" customHeight="1">
      <c r="A62" s="284"/>
      <c r="B62" s="472" t="s">
        <v>730</v>
      </c>
      <c r="C62" s="473"/>
      <c r="D62" s="474"/>
      <c r="E62" s="270"/>
      <c r="F62" s="273"/>
      <c r="G62" s="273"/>
      <c r="H62" s="273"/>
      <c r="I62" s="273"/>
      <c r="J62" s="273"/>
      <c r="K62" s="273"/>
      <c r="L62" s="273"/>
      <c r="M62" s="272"/>
      <c r="N62" s="328"/>
      <c r="O62" s="327"/>
      <c r="P62" s="327"/>
      <c r="Q62" s="273"/>
      <c r="R62" s="273"/>
      <c r="S62" s="273"/>
      <c r="T62" s="275"/>
      <c r="U62" s="327"/>
      <c r="V62" s="327"/>
      <c r="W62" s="344"/>
    </row>
    <row r="63" spans="1:23" ht="45" customHeight="1">
      <c r="A63" s="283"/>
      <c r="B63" s="301" t="s">
        <v>854</v>
      </c>
      <c r="C63" s="288"/>
      <c r="D63" s="286" t="s">
        <v>731</v>
      </c>
      <c r="E63" s="270">
        <f t="shared" si="5"/>
        <v>1764682724</v>
      </c>
      <c r="F63" s="273">
        <v>0</v>
      </c>
      <c r="G63" s="273">
        <v>0</v>
      </c>
      <c r="H63" s="273">
        <v>139158311</v>
      </c>
      <c r="I63" s="273">
        <v>0</v>
      </c>
      <c r="J63" s="273">
        <v>0</v>
      </c>
      <c r="K63" s="273">
        <v>1625524413</v>
      </c>
      <c r="L63" s="273">
        <v>0</v>
      </c>
      <c r="M63" s="272">
        <v>0</v>
      </c>
      <c r="N63" s="328">
        <f t="shared" si="2"/>
        <v>1764682724</v>
      </c>
      <c r="O63" s="327">
        <v>0</v>
      </c>
      <c r="P63" s="327">
        <v>0</v>
      </c>
      <c r="Q63" s="273">
        <v>139158311</v>
      </c>
      <c r="R63" s="273"/>
      <c r="S63" s="273"/>
      <c r="T63" s="275">
        <v>1625524413</v>
      </c>
      <c r="U63" s="327">
        <v>0</v>
      </c>
      <c r="V63" s="327">
        <v>0</v>
      </c>
      <c r="W63" s="344">
        <v>542038</v>
      </c>
    </row>
    <row r="64" spans="1:23" ht="45" customHeight="1">
      <c r="A64" s="284"/>
      <c r="B64" s="472" t="s">
        <v>344</v>
      </c>
      <c r="C64" s="473"/>
      <c r="D64" s="474"/>
      <c r="E64" s="270"/>
      <c r="F64" s="273"/>
      <c r="G64" s="273"/>
      <c r="H64" s="273"/>
      <c r="I64" s="273"/>
      <c r="J64" s="273"/>
      <c r="K64" s="273"/>
      <c r="L64" s="273"/>
      <c r="M64" s="272"/>
      <c r="N64" s="328"/>
      <c r="O64" s="327"/>
      <c r="P64" s="327"/>
      <c r="Q64" s="327"/>
      <c r="R64" s="327"/>
      <c r="S64" s="327"/>
      <c r="T64" s="327"/>
      <c r="U64" s="327"/>
      <c r="V64" s="327"/>
      <c r="W64" s="344"/>
    </row>
    <row r="65" spans="1:23" ht="45" customHeight="1">
      <c r="A65" s="284"/>
      <c r="B65" s="301" t="s">
        <v>855</v>
      </c>
      <c r="C65" s="288"/>
      <c r="D65" s="286" t="s">
        <v>345</v>
      </c>
      <c r="E65" s="270">
        <f t="shared" si="5"/>
        <v>6489239</v>
      </c>
      <c r="F65" s="273">
        <v>0</v>
      </c>
      <c r="G65" s="273">
        <v>0</v>
      </c>
      <c r="H65" s="273">
        <v>0</v>
      </c>
      <c r="I65" s="273">
        <v>0</v>
      </c>
      <c r="J65" s="273">
        <v>1177506</v>
      </c>
      <c r="K65" s="273">
        <v>5311733</v>
      </c>
      <c r="L65" s="273">
        <v>0</v>
      </c>
      <c r="M65" s="272">
        <v>0</v>
      </c>
      <c r="N65" s="328">
        <f t="shared" si="2"/>
        <v>1177506</v>
      </c>
      <c r="O65" s="327">
        <v>0</v>
      </c>
      <c r="P65" s="327">
        <v>0</v>
      </c>
      <c r="Q65" s="327">
        <v>0</v>
      </c>
      <c r="R65" s="327">
        <v>0</v>
      </c>
      <c r="S65" s="273">
        <v>1177506</v>
      </c>
      <c r="T65" s="327">
        <v>0</v>
      </c>
      <c r="U65" s="327">
        <v>0</v>
      </c>
      <c r="V65" s="327">
        <v>0</v>
      </c>
      <c r="W65" s="344">
        <v>542039</v>
      </c>
    </row>
    <row r="66" spans="1:23" ht="45" customHeight="1">
      <c r="A66" s="284"/>
      <c r="B66" s="301" t="s">
        <v>856</v>
      </c>
      <c r="C66" s="288"/>
      <c r="D66" s="286" t="s">
        <v>346</v>
      </c>
      <c r="E66" s="270">
        <f t="shared" si="5"/>
        <v>121598537</v>
      </c>
      <c r="F66" s="273">
        <v>0</v>
      </c>
      <c r="G66" s="273">
        <v>0</v>
      </c>
      <c r="H66" s="273">
        <v>7567618</v>
      </c>
      <c r="I66" s="273">
        <v>0</v>
      </c>
      <c r="J66" s="273">
        <v>0</v>
      </c>
      <c r="K66" s="273">
        <v>0</v>
      </c>
      <c r="L66" s="273">
        <v>114030919</v>
      </c>
      <c r="M66" s="272">
        <v>0</v>
      </c>
      <c r="N66" s="328">
        <f t="shared" si="2"/>
        <v>121623237</v>
      </c>
      <c r="O66" s="327">
        <v>0</v>
      </c>
      <c r="P66" s="327">
        <v>0</v>
      </c>
      <c r="Q66" s="273">
        <v>7694618</v>
      </c>
      <c r="R66" s="327">
        <v>0</v>
      </c>
      <c r="S66" s="327">
        <v>0</v>
      </c>
      <c r="T66" s="327">
        <v>0</v>
      </c>
      <c r="U66" s="342">
        <v>113928619</v>
      </c>
      <c r="V66" s="327">
        <v>0</v>
      </c>
      <c r="W66" s="344">
        <v>542040</v>
      </c>
    </row>
    <row r="67" spans="1:23" ht="45" customHeight="1">
      <c r="A67" s="284"/>
      <c r="B67" s="301" t="s">
        <v>857</v>
      </c>
      <c r="C67" s="288"/>
      <c r="D67" s="286" t="s">
        <v>347</v>
      </c>
      <c r="E67" s="270">
        <f t="shared" si="5"/>
        <v>89544790</v>
      </c>
      <c r="F67" s="273">
        <v>0</v>
      </c>
      <c r="G67" s="273">
        <v>0</v>
      </c>
      <c r="H67" s="273">
        <v>9188835</v>
      </c>
      <c r="I67" s="273">
        <v>0</v>
      </c>
      <c r="J67" s="273">
        <v>0</v>
      </c>
      <c r="K67" s="273">
        <v>0</v>
      </c>
      <c r="L67" s="273">
        <v>80355955</v>
      </c>
      <c r="M67" s="272">
        <v>0</v>
      </c>
      <c r="N67" s="328">
        <f t="shared" si="2"/>
        <v>89654791</v>
      </c>
      <c r="O67" s="327">
        <v>0</v>
      </c>
      <c r="P67" s="327">
        <v>0</v>
      </c>
      <c r="Q67" s="273">
        <v>9315835</v>
      </c>
      <c r="R67" s="327">
        <v>0</v>
      </c>
      <c r="S67" s="327">
        <v>0</v>
      </c>
      <c r="T67" s="327">
        <v>0</v>
      </c>
      <c r="U67" s="342">
        <v>80338956</v>
      </c>
      <c r="V67" s="327">
        <v>0</v>
      </c>
      <c r="W67" s="344">
        <v>542041</v>
      </c>
    </row>
    <row r="68" spans="1:23" ht="45" customHeight="1">
      <c r="A68" s="284"/>
      <c r="B68" s="301" t="s">
        <v>858</v>
      </c>
      <c r="C68" s="288"/>
      <c r="D68" s="286" t="s">
        <v>348</v>
      </c>
      <c r="E68" s="270">
        <f t="shared" si="5"/>
        <v>1620173</v>
      </c>
      <c r="F68" s="273">
        <v>0</v>
      </c>
      <c r="G68" s="273">
        <v>0</v>
      </c>
      <c r="H68" s="273">
        <v>0</v>
      </c>
      <c r="I68" s="273">
        <v>0</v>
      </c>
      <c r="J68" s="273">
        <v>0</v>
      </c>
      <c r="K68" s="273">
        <v>0</v>
      </c>
      <c r="L68" s="273">
        <v>1620173</v>
      </c>
      <c r="M68" s="272">
        <v>0</v>
      </c>
      <c r="N68" s="328">
        <f t="shared" si="2"/>
        <v>1429867</v>
      </c>
      <c r="O68" s="327">
        <v>0</v>
      </c>
      <c r="P68" s="327">
        <v>0</v>
      </c>
      <c r="Q68" s="327">
        <v>0</v>
      </c>
      <c r="R68" s="327">
        <v>0</v>
      </c>
      <c r="S68" s="273">
        <v>1429867</v>
      </c>
      <c r="T68" s="327">
        <v>0</v>
      </c>
      <c r="U68" s="327">
        <v>0</v>
      </c>
      <c r="V68" s="327">
        <v>0</v>
      </c>
      <c r="W68" s="344">
        <v>542042</v>
      </c>
    </row>
    <row r="69" spans="1:23" ht="45" customHeight="1">
      <c r="A69" s="284"/>
      <c r="B69" s="301" t="s">
        <v>859</v>
      </c>
      <c r="C69" s="288"/>
      <c r="D69" s="286" t="s">
        <v>349</v>
      </c>
      <c r="E69" s="270">
        <f t="shared" si="5"/>
        <v>63965612</v>
      </c>
      <c r="F69" s="273">
        <v>0</v>
      </c>
      <c r="G69" s="273">
        <v>0</v>
      </c>
      <c r="H69" s="273">
        <v>705612</v>
      </c>
      <c r="I69" s="273">
        <v>0</v>
      </c>
      <c r="J69" s="273">
        <v>0</v>
      </c>
      <c r="K69" s="273">
        <v>0</v>
      </c>
      <c r="L69" s="273">
        <v>63260000</v>
      </c>
      <c r="M69" s="272">
        <v>0</v>
      </c>
      <c r="N69" s="328">
        <f t="shared" si="2"/>
        <v>23965612</v>
      </c>
      <c r="O69" s="327">
        <v>0</v>
      </c>
      <c r="P69" s="327">
        <v>0</v>
      </c>
      <c r="Q69" s="273">
        <v>705612</v>
      </c>
      <c r="R69" s="327">
        <v>0</v>
      </c>
      <c r="S69" s="327">
        <v>0</v>
      </c>
      <c r="T69" s="327">
        <v>0</v>
      </c>
      <c r="U69" s="342">
        <v>23260000</v>
      </c>
      <c r="V69" s="327">
        <v>0</v>
      </c>
      <c r="W69" s="344">
        <v>542044</v>
      </c>
    </row>
    <row r="70" spans="1:23" ht="45" customHeight="1">
      <c r="A70" s="284"/>
      <c r="B70" s="301" t="s">
        <v>860</v>
      </c>
      <c r="C70" s="288"/>
      <c r="D70" s="286" t="s">
        <v>350</v>
      </c>
      <c r="E70" s="270">
        <f t="shared" si="5"/>
        <v>95651916</v>
      </c>
      <c r="F70" s="273">
        <v>0</v>
      </c>
      <c r="G70" s="273">
        <v>0</v>
      </c>
      <c r="H70" s="273">
        <v>2588006</v>
      </c>
      <c r="I70" s="273">
        <v>0</v>
      </c>
      <c r="J70" s="273">
        <v>0</v>
      </c>
      <c r="K70" s="273">
        <v>0</v>
      </c>
      <c r="L70" s="273">
        <v>93063910</v>
      </c>
      <c r="M70" s="272">
        <v>0</v>
      </c>
      <c r="N70" s="328">
        <f t="shared" si="2"/>
        <v>103564987</v>
      </c>
      <c r="O70" s="327">
        <v>0</v>
      </c>
      <c r="P70" s="327">
        <v>0</v>
      </c>
      <c r="Q70" s="273">
        <v>8337</v>
      </c>
      <c r="R70" s="327">
        <v>0</v>
      </c>
      <c r="S70" s="327">
        <v>0</v>
      </c>
      <c r="T70" s="327">
        <v>0</v>
      </c>
      <c r="U70" s="342"/>
      <c r="V70" s="327">
        <v>103556650</v>
      </c>
      <c r="W70" s="344">
        <v>542045</v>
      </c>
    </row>
    <row r="71" spans="1:23" ht="45" customHeight="1">
      <c r="A71" s="284"/>
      <c r="B71" s="301" t="s">
        <v>861</v>
      </c>
      <c r="C71" s="288"/>
      <c r="D71" s="286" t="s">
        <v>351</v>
      </c>
      <c r="E71" s="270">
        <f t="shared" si="5"/>
        <v>40028832</v>
      </c>
      <c r="F71" s="273">
        <v>0</v>
      </c>
      <c r="G71" s="273">
        <v>0</v>
      </c>
      <c r="H71" s="273">
        <v>678942</v>
      </c>
      <c r="I71" s="273">
        <v>0</v>
      </c>
      <c r="J71" s="273">
        <v>0</v>
      </c>
      <c r="K71" s="273">
        <v>548640</v>
      </c>
      <c r="L71" s="273">
        <v>38801250</v>
      </c>
      <c r="M71" s="272">
        <v>0</v>
      </c>
      <c r="N71" s="328">
        <f t="shared" si="2"/>
        <v>17528832</v>
      </c>
      <c r="O71" s="327">
        <v>0</v>
      </c>
      <c r="P71" s="327">
        <v>0</v>
      </c>
      <c r="Q71" s="273">
        <v>678942</v>
      </c>
      <c r="R71" s="327">
        <v>0</v>
      </c>
      <c r="S71" s="327">
        <v>0</v>
      </c>
      <c r="T71" s="275">
        <v>548640</v>
      </c>
      <c r="U71" s="342">
        <v>16301250</v>
      </c>
      <c r="V71" s="327">
        <v>0</v>
      </c>
      <c r="W71" s="344">
        <v>542046</v>
      </c>
    </row>
    <row r="72" spans="1:23" ht="45" customHeight="1">
      <c r="A72" s="284"/>
      <c r="B72" s="301" t="s">
        <v>862</v>
      </c>
      <c r="C72" s="288"/>
      <c r="D72" s="286" t="s">
        <v>352</v>
      </c>
      <c r="E72" s="270">
        <f t="shared" si="5"/>
        <v>210361704</v>
      </c>
      <c r="F72" s="273">
        <v>0</v>
      </c>
      <c r="G72" s="273">
        <v>0</v>
      </c>
      <c r="H72" s="273">
        <v>12237214</v>
      </c>
      <c r="I72" s="273">
        <v>0</v>
      </c>
      <c r="J72" s="273">
        <v>0</v>
      </c>
      <c r="K72" s="273">
        <v>0</v>
      </c>
      <c r="L72" s="273">
        <v>198124490</v>
      </c>
      <c r="M72" s="272">
        <v>0</v>
      </c>
      <c r="N72" s="328">
        <f t="shared" si="2"/>
        <v>266546928</v>
      </c>
      <c r="O72" s="327">
        <v>0</v>
      </c>
      <c r="P72" s="327">
        <v>0</v>
      </c>
      <c r="Q72" s="273">
        <v>4299204</v>
      </c>
      <c r="R72" s="327">
        <v>0</v>
      </c>
      <c r="S72" s="327">
        <v>0</v>
      </c>
      <c r="T72" s="327">
        <v>0</v>
      </c>
      <c r="U72" s="342">
        <v>262247724</v>
      </c>
      <c r="V72" s="327">
        <v>0</v>
      </c>
      <c r="W72" s="344">
        <v>542047</v>
      </c>
    </row>
    <row r="73" spans="1:23" ht="45" customHeight="1">
      <c r="A73" s="284"/>
      <c r="B73" s="301" t="s">
        <v>863</v>
      </c>
      <c r="C73" s="288"/>
      <c r="D73" s="286" t="s">
        <v>353</v>
      </c>
      <c r="E73" s="270">
        <f t="shared" si="5"/>
        <v>93684026</v>
      </c>
      <c r="F73" s="273">
        <v>0</v>
      </c>
      <c r="G73" s="273">
        <v>0</v>
      </c>
      <c r="H73" s="273">
        <v>1224026</v>
      </c>
      <c r="I73" s="273">
        <v>0</v>
      </c>
      <c r="J73" s="273">
        <v>0</v>
      </c>
      <c r="K73" s="273">
        <v>0</v>
      </c>
      <c r="L73" s="273">
        <v>92460000</v>
      </c>
      <c r="M73" s="272">
        <v>0</v>
      </c>
      <c r="N73" s="328">
        <f t="shared" si="2"/>
        <v>93684026</v>
      </c>
      <c r="O73" s="327">
        <v>0</v>
      </c>
      <c r="P73" s="327">
        <v>0</v>
      </c>
      <c r="Q73" s="273">
        <v>1224026</v>
      </c>
      <c r="R73" s="327">
        <v>0</v>
      </c>
      <c r="S73" s="327">
        <v>0</v>
      </c>
      <c r="T73" s="327">
        <v>0</v>
      </c>
      <c r="U73" s="342">
        <v>92460000</v>
      </c>
      <c r="V73" s="327">
        <v>0</v>
      </c>
      <c r="W73" s="344">
        <v>542048</v>
      </c>
    </row>
    <row r="74" spans="1:23" ht="45" customHeight="1">
      <c r="A74" s="283"/>
      <c r="B74" s="301" t="s">
        <v>864</v>
      </c>
      <c r="C74" s="288"/>
      <c r="D74" s="286" t="s">
        <v>1011</v>
      </c>
      <c r="E74" s="270">
        <f t="shared" si="5"/>
        <v>84049804</v>
      </c>
      <c r="F74" s="273">
        <v>0</v>
      </c>
      <c r="G74" s="273">
        <v>0</v>
      </c>
      <c r="H74" s="273">
        <v>9504183</v>
      </c>
      <c r="I74" s="273">
        <v>0</v>
      </c>
      <c r="J74" s="273">
        <v>0</v>
      </c>
      <c r="K74" s="273">
        <v>0</v>
      </c>
      <c r="L74" s="273">
        <v>74545621</v>
      </c>
      <c r="M74" s="272">
        <v>0</v>
      </c>
      <c r="N74" s="328">
        <f t="shared" si="2"/>
        <v>76549804</v>
      </c>
      <c r="O74" s="327">
        <v>0</v>
      </c>
      <c r="P74" s="327">
        <v>0</v>
      </c>
      <c r="Q74" s="273">
        <v>9631183</v>
      </c>
      <c r="R74" s="327">
        <v>0</v>
      </c>
      <c r="S74" s="327">
        <v>0</v>
      </c>
      <c r="T74" s="327">
        <v>0</v>
      </c>
      <c r="U74" s="342">
        <v>66918621</v>
      </c>
      <c r="V74" s="327">
        <v>0</v>
      </c>
      <c r="W74" s="344">
        <v>542049</v>
      </c>
    </row>
    <row r="75" spans="1:23" s="218" customFormat="1" ht="45" customHeight="1">
      <c r="A75" s="287"/>
      <c r="B75" s="301" t="s">
        <v>865</v>
      </c>
      <c r="C75" s="288"/>
      <c r="D75" s="286" t="s">
        <v>354</v>
      </c>
      <c r="E75" s="270">
        <f t="shared" si="5"/>
        <v>101241276</v>
      </c>
      <c r="F75" s="274">
        <v>0</v>
      </c>
      <c r="G75" s="274">
        <v>0</v>
      </c>
      <c r="H75" s="274">
        <v>9148502</v>
      </c>
      <c r="I75" s="274">
        <v>0</v>
      </c>
      <c r="J75" s="274">
        <v>0</v>
      </c>
      <c r="K75" s="273">
        <v>0</v>
      </c>
      <c r="L75" s="273">
        <v>92092774</v>
      </c>
      <c r="M75" s="272">
        <v>0</v>
      </c>
      <c r="N75" s="328">
        <f t="shared" si="2"/>
        <v>103174624</v>
      </c>
      <c r="O75" s="327">
        <v>0</v>
      </c>
      <c r="P75" s="327">
        <v>0</v>
      </c>
      <c r="Q75" s="274">
        <v>9275502</v>
      </c>
      <c r="R75" s="327">
        <v>0</v>
      </c>
      <c r="S75" s="327">
        <v>0</v>
      </c>
      <c r="T75" s="327">
        <v>0</v>
      </c>
      <c r="U75" s="342">
        <v>93899122</v>
      </c>
      <c r="V75" s="327">
        <v>0</v>
      </c>
      <c r="W75" s="345">
        <v>542050</v>
      </c>
    </row>
    <row r="76" spans="1:23" ht="45" customHeight="1">
      <c r="A76" s="283"/>
      <c r="B76" s="472" t="s">
        <v>732</v>
      </c>
      <c r="C76" s="473"/>
      <c r="D76" s="474"/>
      <c r="E76" s="270"/>
      <c r="F76" s="273"/>
      <c r="G76" s="273"/>
      <c r="H76" s="273"/>
      <c r="I76" s="273"/>
      <c r="J76" s="273"/>
      <c r="K76" s="273"/>
      <c r="L76" s="273"/>
      <c r="M76" s="272"/>
      <c r="N76" s="328"/>
      <c r="O76" s="327"/>
      <c r="P76" s="327"/>
      <c r="Q76" s="327"/>
      <c r="R76" s="327"/>
      <c r="S76" s="327"/>
      <c r="T76" s="327"/>
      <c r="U76" s="327"/>
      <c r="V76" s="327"/>
      <c r="W76" s="344"/>
    </row>
    <row r="77" spans="1:23" ht="45" customHeight="1">
      <c r="A77" s="284"/>
      <c r="B77" s="301" t="s">
        <v>866</v>
      </c>
      <c r="C77" s="288"/>
      <c r="D77" s="290" t="s">
        <v>733</v>
      </c>
      <c r="E77" s="270">
        <f t="shared" si="5"/>
        <v>161443194</v>
      </c>
      <c r="F77" s="273">
        <v>0</v>
      </c>
      <c r="G77" s="273">
        <v>0</v>
      </c>
      <c r="H77" s="273">
        <v>3669411</v>
      </c>
      <c r="I77" s="273">
        <v>0</v>
      </c>
      <c r="J77" s="273">
        <v>0</v>
      </c>
      <c r="K77" s="273">
        <v>0</v>
      </c>
      <c r="L77" s="273">
        <v>157773783</v>
      </c>
      <c r="M77" s="272">
        <v>0</v>
      </c>
      <c r="N77" s="328">
        <f aca="true" t="shared" si="6" ref="N77:N139">SUM(O77:V77)</f>
        <v>161443194</v>
      </c>
      <c r="O77" s="327">
        <v>0</v>
      </c>
      <c r="P77" s="327">
        <v>0</v>
      </c>
      <c r="Q77" s="273">
        <v>3669411</v>
      </c>
      <c r="R77" s="327">
        <v>0</v>
      </c>
      <c r="S77" s="327">
        <v>0</v>
      </c>
      <c r="T77" s="327">
        <v>0</v>
      </c>
      <c r="U77" s="342">
        <v>157773783</v>
      </c>
      <c r="V77" s="327">
        <v>0</v>
      </c>
      <c r="W77" s="344">
        <v>542051</v>
      </c>
    </row>
    <row r="78" spans="1:23" ht="45" customHeight="1">
      <c r="A78" s="283"/>
      <c r="B78" s="301" t="s">
        <v>867</v>
      </c>
      <c r="C78" s="288"/>
      <c r="D78" s="290" t="s">
        <v>734</v>
      </c>
      <c r="E78" s="270">
        <f t="shared" si="5"/>
        <v>1034120491</v>
      </c>
      <c r="F78" s="273">
        <v>0</v>
      </c>
      <c r="G78" s="273">
        <v>0</v>
      </c>
      <c r="H78" s="273">
        <v>11933777</v>
      </c>
      <c r="I78" s="273">
        <v>0</v>
      </c>
      <c r="J78" s="273">
        <v>0</v>
      </c>
      <c r="K78" s="273">
        <v>0</v>
      </c>
      <c r="L78" s="273">
        <v>1022186714</v>
      </c>
      <c r="M78" s="272">
        <v>0</v>
      </c>
      <c r="N78" s="328">
        <f t="shared" si="6"/>
        <v>1057936801</v>
      </c>
      <c r="O78" s="327">
        <v>0</v>
      </c>
      <c r="P78" s="327">
        <v>0</v>
      </c>
      <c r="Q78" s="273">
        <v>11933777</v>
      </c>
      <c r="R78" s="327">
        <v>0</v>
      </c>
      <c r="S78" s="327">
        <v>0</v>
      </c>
      <c r="T78" s="327">
        <v>0</v>
      </c>
      <c r="U78" s="342">
        <v>1046003024</v>
      </c>
      <c r="V78" s="327">
        <v>0</v>
      </c>
      <c r="W78" s="344">
        <v>542052</v>
      </c>
    </row>
    <row r="79" spans="1:23" ht="45" customHeight="1">
      <c r="A79" s="284"/>
      <c r="B79" s="301" t="s">
        <v>868</v>
      </c>
      <c r="C79" s="285"/>
      <c r="D79" s="290" t="s">
        <v>735</v>
      </c>
      <c r="E79" s="270">
        <f t="shared" si="5"/>
        <v>175411582</v>
      </c>
      <c r="F79" s="273">
        <v>0</v>
      </c>
      <c r="G79" s="273">
        <v>0</v>
      </c>
      <c r="H79" s="273">
        <v>3966715</v>
      </c>
      <c r="I79" s="273">
        <v>0</v>
      </c>
      <c r="J79" s="273">
        <v>0</v>
      </c>
      <c r="K79" s="273">
        <v>3000000</v>
      </c>
      <c r="L79" s="273">
        <v>168444867</v>
      </c>
      <c r="M79" s="272">
        <v>0</v>
      </c>
      <c r="N79" s="328">
        <f t="shared" si="6"/>
        <v>169411582</v>
      </c>
      <c r="O79" s="327">
        <v>0</v>
      </c>
      <c r="P79" s="327">
        <v>0</v>
      </c>
      <c r="Q79" s="273">
        <v>3966715</v>
      </c>
      <c r="R79" s="327">
        <v>0</v>
      </c>
      <c r="S79" s="327">
        <v>0</v>
      </c>
      <c r="T79" s="327">
        <v>0</v>
      </c>
      <c r="U79" s="342">
        <v>165444867</v>
      </c>
      <c r="V79" s="327">
        <v>0</v>
      </c>
      <c r="W79" s="344">
        <v>542053</v>
      </c>
    </row>
    <row r="80" spans="1:23" ht="45" customHeight="1">
      <c r="A80" s="284"/>
      <c r="B80" s="301" t="s">
        <v>869</v>
      </c>
      <c r="C80" s="285"/>
      <c r="D80" s="290" t="s">
        <v>736</v>
      </c>
      <c r="E80" s="270">
        <f t="shared" si="5"/>
        <v>161772423</v>
      </c>
      <c r="F80" s="273">
        <v>0</v>
      </c>
      <c r="G80" s="273">
        <v>0</v>
      </c>
      <c r="H80" s="273">
        <v>3671821</v>
      </c>
      <c r="I80" s="273">
        <v>0</v>
      </c>
      <c r="J80" s="273">
        <v>0</v>
      </c>
      <c r="K80" s="273">
        <v>3000000</v>
      </c>
      <c r="L80" s="273">
        <v>155100602</v>
      </c>
      <c r="M80" s="272">
        <v>0</v>
      </c>
      <c r="N80" s="328">
        <f t="shared" si="6"/>
        <v>155772423</v>
      </c>
      <c r="O80" s="327">
        <v>0</v>
      </c>
      <c r="P80" s="327">
        <v>0</v>
      </c>
      <c r="Q80" s="273">
        <v>3671821</v>
      </c>
      <c r="R80" s="327">
        <v>0</v>
      </c>
      <c r="S80" s="327">
        <v>0</v>
      </c>
      <c r="T80" s="327">
        <v>0</v>
      </c>
      <c r="U80" s="342">
        <v>152100602</v>
      </c>
      <c r="V80" s="327">
        <v>0</v>
      </c>
      <c r="W80" s="344">
        <v>542054</v>
      </c>
    </row>
    <row r="81" spans="1:23" s="218" customFormat="1" ht="45" customHeight="1">
      <c r="A81" s="287"/>
      <c r="B81" s="301" t="s">
        <v>870</v>
      </c>
      <c r="C81" s="285"/>
      <c r="D81" s="290" t="s">
        <v>737</v>
      </c>
      <c r="E81" s="270">
        <f t="shared" si="5"/>
        <v>69840814</v>
      </c>
      <c r="F81" s="274">
        <v>0</v>
      </c>
      <c r="G81" s="274">
        <v>0</v>
      </c>
      <c r="H81" s="274">
        <v>1544193</v>
      </c>
      <c r="I81" s="274">
        <v>0</v>
      </c>
      <c r="J81" s="274">
        <v>0</v>
      </c>
      <c r="K81" s="273">
        <v>3000000</v>
      </c>
      <c r="L81" s="273">
        <v>65296621</v>
      </c>
      <c r="M81" s="272">
        <v>0</v>
      </c>
      <c r="N81" s="328">
        <f t="shared" si="6"/>
        <v>65545465</v>
      </c>
      <c r="O81" s="327">
        <v>0</v>
      </c>
      <c r="P81" s="327">
        <v>0</v>
      </c>
      <c r="Q81" s="274">
        <v>1544193</v>
      </c>
      <c r="R81" s="327">
        <v>0</v>
      </c>
      <c r="S81" s="327">
        <v>0</v>
      </c>
      <c r="T81" s="327">
        <v>0</v>
      </c>
      <c r="U81" s="342">
        <v>64001272</v>
      </c>
      <c r="V81" s="327">
        <v>0</v>
      </c>
      <c r="W81" s="345">
        <v>542055</v>
      </c>
    </row>
    <row r="82" spans="1:23" ht="45" customHeight="1">
      <c r="A82" s="284"/>
      <c r="B82" s="301" t="s">
        <v>871</v>
      </c>
      <c r="C82" s="285"/>
      <c r="D82" s="290" t="s">
        <v>738</v>
      </c>
      <c r="E82" s="270">
        <f t="shared" si="5"/>
        <v>310159912</v>
      </c>
      <c r="F82" s="273">
        <v>0</v>
      </c>
      <c r="G82" s="273">
        <v>0</v>
      </c>
      <c r="H82" s="273">
        <v>9159589</v>
      </c>
      <c r="I82" s="273">
        <v>0</v>
      </c>
      <c r="J82" s="273">
        <v>0</v>
      </c>
      <c r="K82" s="273">
        <v>123807786</v>
      </c>
      <c r="L82" s="273">
        <v>177192537</v>
      </c>
      <c r="M82" s="272">
        <v>0</v>
      </c>
      <c r="N82" s="328">
        <f t="shared" si="6"/>
        <v>310159912</v>
      </c>
      <c r="O82" s="327">
        <v>0</v>
      </c>
      <c r="P82" s="327">
        <v>0</v>
      </c>
      <c r="Q82" s="273">
        <v>9286589</v>
      </c>
      <c r="R82" s="327">
        <v>0</v>
      </c>
      <c r="S82" s="327">
        <v>0</v>
      </c>
      <c r="T82" s="275">
        <v>44656266</v>
      </c>
      <c r="U82" s="342">
        <v>256217057</v>
      </c>
      <c r="V82" s="327">
        <v>0</v>
      </c>
      <c r="W82" s="344">
        <v>542056</v>
      </c>
    </row>
    <row r="83" spans="1:23" ht="45" customHeight="1">
      <c r="A83" s="284"/>
      <c r="B83" s="301" t="s">
        <v>872</v>
      </c>
      <c r="C83" s="285"/>
      <c r="D83" s="290" t="s">
        <v>740</v>
      </c>
      <c r="E83" s="270">
        <f t="shared" si="5"/>
        <v>165376811</v>
      </c>
      <c r="F83" s="274">
        <v>0</v>
      </c>
      <c r="G83" s="274">
        <v>0</v>
      </c>
      <c r="H83" s="274">
        <v>3819268</v>
      </c>
      <c r="I83" s="274">
        <v>0</v>
      </c>
      <c r="J83" s="274">
        <v>0</v>
      </c>
      <c r="K83" s="273">
        <v>0</v>
      </c>
      <c r="L83" s="273">
        <v>161557543</v>
      </c>
      <c r="M83" s="272">
        <v>0</v>
      </c>
      <c r="N83" s="328">
        <f t="shared" si="6"/>
        <v>163733805</v>
      </c>
      <c r="O83" s="327">
        <v>0</v>
      </c>
      <c r="P83" s="327">
        <v>0</v>
      </c>
      <c r="Q83" s="274">
        <v>222630</v>
      </c>
      <c r="R83" s="327">
        <v>0</v>
      </c>
      <c r="S83" s="327">
        <v>0</v>
      </c>
      <c r="T83" s="327">
        <v>0</v>
      </c>
      <c r="U83" s="342">
        <v>511175</v>
      </c>
      <c r="V83" s="327">
        <v>163000000</v>
      </c>
      <c r="W83" s="344">
        <v>542057</v>
      </c>
    </row>
    <row r="84" spans="1:23" ht="45" customHeight="1">
      <c r="A84" s="283"/>
      <c r="B84" s="301" t="s">
        <v>873</v>
      </c>
      <c r="C84" s="285"/>
      <c r="D84" s="290" t="s">
        <v>739</v>
      </c>
      <c r="E84" s="270">
        <f t="shared" si="5"/>
        <v>278590084</v>
      </c>
      <c r="F84" s="273">
        <v>0</v>
      </c>
      <c r="G84" s="273">
        <v>0</v>
      </c>
      <c r="H84" s="273">
        <v>4113022</v>
      </c>
      <c r="I84" s="273">
        <v>0</v>
      </c>
      <c r="J84" s="273">
        <v>0</v>
      </c>
      <c r="K84" s="273">
        <v>3000000</v>
      </c>
      <c r="L84" s="273">
        <v>271477062</v>
      </c>
      <c r="M84" s="272">
        <v>0</v>
      </c>
      <c r="N84" s="328">
        <f t="shared" si="6"/>
        <v>275590084</v>
      </c>
      <c r="O84" s="327">
        <v>0</v>
      </c>
      <c r="P84" s="327">
        <v>0</v>
      </c>
      <c r="Q84" s="273">
        <v>4113022</v>
      </c>
      <c r="R84" s="327">
        <v>0</v>
      </c>
      <c r="S84" s="327">
        <v>0</v>
      </c>
      <c r="T84" s="327">
        <v>0</v>
      </c>
      <c r="U84" s="342">
        <v>271477062</v>
      </c>
      <c r="V84" s="327">
        <v>0</v>
      </c>
      <c r="W84" s="344">
        <v>542058</v>
      </c>
    </row>
    <row r="85" spans="1:23" s="218" customFormat="1" ht="45" customHeight="1">
      <c r="A85" s="287"/>
      <c r="B85" s="301" t="s">
        <v>874</v>
      </c>
      <c r="C85" s="285"/>
      <c r="D85" s="290" t="s">
        <v>741</v>
      </c>
      <c r="E85" s="270">
        <f t="shared" si="5"/>
        <v>504202445</v>
      </c>
      <c r="F85" s="274">
        <v>0</v>
      </c>
      <c r="G85" s="274">
        <v>0</v>
      </c>
      <c r="H85" s="274">
        <v>5883526</v>
      </c>
      <c r="I85" s="274">
        <v>0</v>
      </c>
      <c r="J85" s="274">
        <v>0</v>
      </c>
      <c r="K85" s="273">
        <v>20000000</v>
      </c>
      <c r="L85" s="273">
        <v>478318919</v>
      </c>
      <c r="M85" s="272">
        <v>0</v>
      </c>
      <c r="N85" s="328">
        <f t="shared" si="6"/>
        <v>504202445</v>
      </c>
      <c r="O85" s="327">
        <v>0</v>
      </c>
      <c r="P85" s="327">
        <v>0</v>
      </c>
      <c r="Q85" s="274">
        <v>5883526</v>
      </c>
      <c r="R85" s="327">
        <v>0</v>
      </c>
      <c r="S85" s="327">
        <v>0</v>
      </c>
      <c r="T85" s="275">
        <v>20000000</v>
      </c>
      <c r="U85" s="342">
        <v>478318919</v>
      </c>
      <c r="V85" s="327">
        <v>0</v>
      </c>
      <c r="W85" s="345">
        <v>542059</v>
      </c>
    </row>
    <row r="86" spans="1:23" ht="45" customHeight="1">
      <c r="A86" s="284"/>
      <c r="B86" s="301" t="s">
        <v>875</v>
      </c>
      <c r="C86" s="285"/>
      <c r="D86" s="290" t="s">
        <v>742</v>
      </c>
      <c r="E86" s="270">
        <f t="shared" si="5"/>
        <v>162426811</v>
      </c>
      <c r="F86" s="273">
        <v>0</v>
      </c>
      <c r="G86" s="273">
        <v>0</v>
      </c>
      <c r="H86" s="273">
        <v>3819268</v>
      </c>
      <c r="I86" s="273">
        <v>0</v>
      </c>
      <c r="J86" s="273">
        <v>0</v>
      </c>
      <c r="K86" s="273">
        <v>0</v>
      </c>
      <c r="L86" s="273">
        <v>158607543</v>
      </c>
      <c r="M86" s="272">
        <v>0</v>
      </c>
      <c r="N86" s="328">
        <f t="shared" si="6"/>
        <v>162426811</v>
      </c>
      <c r="O86" s="327">
        <v>0</v>
      </c>
      <c r="P86" s="327">
        <v>0</v>
      </c>
      <c r="Q86" s="273">
        <v>3819268</v>
      </c>
      <c r="R86" s="327">
        <v>0</v>
      </c>
      <c r="S86" s="327">
        <v>0</v>
      </c>
      <c r="T86" s="275"/>
      <c r="U86" s="342">
        <v>158607543</v>
      </c>
      <c r="V86" s="327">
        <v>0</v>
      </c>
      <c r="W86" s="344">
        <v>542060</v>
      </c>
    </row>
    <row r="87" spans="1:23" ht="45" customHeight="1">
      <c r="A87" s="284"/>
      <c r="B87" s="301" t="s">
        <v>876</v>
      </c>
      <c r="C87" s="285"/>
      <c r="D87" s="290" t="s">
        <v>743</v>
      </c>
      <c r="E87" s="270">
        <f t="shared" si="5"/>
        <v>274679194</v>
      </c>
      <c r="F87" s="273">
        <v>0</v>
      </c>
      <c r="G87" s="273">
        <v>0</v>
      </c>
      <c r="H87" s="273">
        <v>2093592</v>
      </c>
      <c r="I87" s="273">
        <v>0</v>
      </c>
      <c r="J87" s="273">
        <v>0</v>
      </c>
      <c r="K87" s="273">
        <v>20000000</v>
      </c>
      <c r="L87" s="273">
        <v>252585602</v>
      </c>
      <c r="M87" s="272">
        <v>0</v>
      </c>
      <c r="N87" s="328">
        <f t="shared" si="6"/>
        <v>286105413</v>
      </c>
      <c r="O87" s="327">
        <v>0</v>
      </c>
      <c r="P87" s="327">
        <v>0</v>
      </c>
      <c r="Q87" s="273">
        <v>2093592</v>
      </c>
      <c r="R87" s="327">
        <v>0</v>
      </c>
      <c r="S87" s="327">
        <v>0</v>
      </c>
      <c r="T87" s="275">
        <v>8320714</v>
      </c>
      <c r="U87" s="342">
        <v>275691107</v>
      </c>
      <c r="V87" s="327">
        <v>0</v>
      </c>
      <c r="W87" s="344">
        <v>542061</v>
      </c>
    </row>
    <row r="88" spans="1:23" ht="45" customHeight="1">
      <c r="A88" s="284"/>
      <c r="B88" s="472" t="s">
        <v>1005</v>
      </c>
      <c r="C88" s="473"/>
      <c r="D88" s="474"/>
      <c r="E88" s="270"/>
      <c r="F88" s="273"/>
      <c r="G88" s="273"/>
      <c r="H88" s="273"/>
      <c r="I88" s="273"/>
      <c r="J88" s="273"/>
      <c r="K88" s="273"/>
      <c r="L88" s="273"/>
      <c r="M88" s="272"/>
      <c r="N88" s="328"/>
      <c r="O88" s="327"/>
      <c r="P88" s="327"/>
      <c r="Q88" s="273"/>
      <c r="R88" s="327"/>
      <c r="S88" s="327"/>
      <c r="T88" s="275"/>
      <c r="U88" s="342"/>
      <c r="V88" s="327"/>
      <c r="W88" s="344"/>
    </row>
    <row r="89" spans="1:23" ht="45" customHeight="1">
      <c r="A89" s="284"/>
      <c r="B89" s="301" t="s">
        <v>877</v>
      </c>
      <c r="C89" s="285"/>
      <c r="D89" s="286" t="s">
        <v>355</v>
      </c>
      <c r="E89" s="270">
        <f t="shared" si="5"/>
        <v>8319684</v>
      </c>
      <c r="F89" s="273">
        <v>0</v>
      </c>
      <c r="G89" s="273">
        <v>0</v>
      </c>
      <c r="H89" s="273">
        <v>0</v>
      </c>
      <c r="I89" s="273">
        <v>0</v>
      </c>
      <c r="J89" s="273">
        <v>0</v>
      </c>
      <c r="K89" s="273">
        <v>8319684</v>
      </c>
      <c r="L89" s="273">
        <v>0</v>
      </c>
      <c r="M89" s="272">
        <v>0</v>
      </c>
      <c r="N89" s="328">
        <f t="shared" si="6"/>
        <v>8319684</v>
      </c>
      <c r="O89" s="327">
        <v>0</v>
      </c>
      <c r="P89" s="327">
        <v>0</v>
      </c>
      <c r="Q89" s="327">
        <v>0</v>
      </c>
      <c r="R89" s="327">
        <v>0</v>
      </c>
      <c r="S89" s="327">
        <v>0</v>
      </c>
      <c r="T89" s="275">
        <v>8319684</v>
      </c>
      <c r="U89" s="327">
        <v>0</v>
      </c>
      <c r="V89" s="327">
        <v>0</v>
      </c>
      <c r="W89" s="344">
        <v>542062</v>
      </c>
    </row>
    <row r="90" spans="1:23" ht="45" customHeight="1">
      <c r="A90" s="284"/>
      <c r="B90" s="301" t="s">
        <v>878</v>
      </c>
      <c r="C90" s="285"/>
      <c r="D90" s="286" t="s">
        <v>356</v>
      </c>
      <c r="E90" s="270">
        <f t="shared" si="5"/>
        <v>104934597</v>
      </c>
      <c r="F90" s="273">
        <v>0</v>
      </c>
      <c r="G90" s="273">
        <v>0</v>
      </c>
      <c r="H90" s="273">
        <v>19756130</v>
      </c>
      <c r="I90" s="273">
        <v>0</v>
      </c>
      <c r="J90" s="273">
        <v>0</v>
      </c>
      <c r="K90" s="273">
        <v>85178467</v>
      </c>
      <c r="L90" s="273">
        <v>0</v>
      </c>
      <c r="M90" s="272">
        <v>0</v>
      </c>
      <c r="N90" s="328">
        <f t="shared" si="6"/>
        <v>95881703</v>
      </c>
      <c r="O90" s="327">
        <v>0</v>
      </c>
      <c r="P90" s="327">
        <v>0</v>
      </c>
      <c r="Q90" s="273">
        <v>21705556</v>
      </c>
      <c r="R90" s="327">
        <v>0</v>
      </c>
      <c r="S90" s="327">
        <v>0</v>
      </c>
      <c r="T90" s="275">
        <v>74176147</v>
      </c>
      <c r="U90" s="327">
        <v>0</v>
      </c>
      <c r="V90" s="327">
        <v>0</v>
      </c>
      <c r="W90" s="344">
        <v>542067</v>
      </c>
    </row>
    <row r="91" spans="1:23" s="218" customFormat="1" ht="45" customHeight="1">
      <c r="A91" s="287"/>
      <c r="B91" s="301" t="s">
        <v>879</v>
      </c>
      <c r="C91" s="285"/>
      <c r="D91" s="286" t="s">
        <v>357</v>
      </c>
      <c r="E91" s="270">
        <f t="shared" si="5"/>
        <v>5000000</v>
      </c>
      <c r="F91" s="274">
        <v>0</v>
      </c>
      <c r="G91" s="274">
        <v>0</v>
      </c>
      <c r="H91" s="274">
        <v>0</v>
      </c>
      <c r="I91" s="274">
        <v>0</v>
      </c>
      <c r="J91" s="274">
        <v>0</v>
      </c>
      <c r="K91" s="273">
        <v>5000000</v>
      </c>
      <c r="L91" s="273">
        <v>0</v>
      </c>
      <c r="M91" s="272">
        <v>0</v>
      </c>
      <c r="N91" s="328">
        <f t="shared" si="6"/>
        <v>0</v>
      </c>
      <c r="O91" s="327">
        <v>0</v>
      </c>
      <c r="P91" s="327">
        <v>0</v>
      </c>
      <c r="Q91" s="327">
        <v>0</v>
      </c>
      <c r="R91" s="327">
        <v>0</v>
      </c>
      <c r="S91" s="327">
        <v>0</v>
      </c>
      <c r="T91" s="327">
        <v>0</v>
      </c>
      <c r="U91" s="327">
        <v>0</v>
      </c>
      <c r="V91" s="327">
        <v>0</v>
      </c>
      <c r="W91" s="345">
        <v>542072</v>
      </c>
    </row>
    <row r="92" spans="1:23" ht="45" customHeight="1">
      <c r="A92" s="284"/>
      <c r="B92" s="472" t="s">
        <v>1006</v>
      </c>
      <c r="C92" s="473"/>
      <c r="D92" s="474"/>
      <c r="E92" s="270"/>
      <c r="F92" s="273"/>
      <c r="G92" s="273"/>
      <c r="H92" s="273"/>
      <c r="I92" s="273"/>
      <c r="J92" s="273"/>
      <c r="K92" s="273"/>
      <c r="L92" s="273"/>
      <c r="M92" s="272"/>
      <c r="N92" s="328"/>
      <c r="O92" s="327"/>
      <c r="P92" s="327"/>
      <c r="Q92" s="327"/>
      <c r="R92" s="327"/>
      <c r="S92" s="327"/>
      <c r="T92" s="327"/>
      <c r="U92" s="327"/>
      <c r="V92" s="327"/>
      <c r="W92" s="344"/>
    </row>
    <row r="93" spans="1:23" ht="45" customHeight="1">
      <c r="A93" s="284"/>
      <c r="B93" s="301" t="s">
        <v>880</v>
      </c>
      <c r="C93" s="285"/>
      <c r="D93" s="286" t="s">
        <v>744</v>
      </c>
      <c r="E93" s="270">
        <f t="shared" si="5"/>
        <v>54615401</v>
      </c>
      <c r="F93" s="273">
        <v>0</v>
      </c>
      <c r="G93" s="273">
        <v>0</v>
      </c>
      <c r="H93" s="273">
        <v>1348433</v>
      </c>
      <c r="I93" s="273">
        <v>0</v>
      </c>
      <c r="J93" s="273">
        <v>0</v>
      </c>
      <c r="K93" s="273">
        <v>53266968</v>
      </c>
      <c r="L93" s="273">
        <v>0</v>
      </c>
      <c r="M93" s="272">
        <v>0</v>
      </c>
      <c r="N93" s="328">
        <f t="shared" si="6"/>
        <v>52115401</v>
      </c>
      <c r="O93" s="327">
        <v>0</v>
      </c>
      <c r="P93" s="327">
        <v>0</v>
      </c>
      <c r="Q93" s="273">
        <v>1348433</v>
      </c>
      <c r="R93" s="327">
        <v>0</v>
      </c>
      <c r="S93" s="327">
        <v>0</v>
      </c>
      <c r="T93" s="275">
        <v>50766968</v>
      </c>
      <c r="U93" s="327">
        <v>0</v>
      </c>
      <c r="V93" s="327">
        <v>0</v>
      </c>
      <c r="W93" s="344">
        <v>542073</v>
      </c>
    </row>
    <row r="94" spans="1:23" ht="45" customHeight="1">
      <c r="A94" s="284"/>
      <c r="B94" s="301" t="s">
        <v>881</v>
      </c>
      <c r="C94" s="285"/>
      <c r="D94" s="286" t="s">
        <v>745</v>
      </c>
      <c r="E94" s="270">
        <f t="shared" si="5"/>
        <v>146688369</v>
      </c>
      <c r="F94" s="273">
        <v>0</v>
      </c>
      <c r="G94" s="273">
        <v>0</v>
      </c>
      <c r="H94" s="273">
        <v>3524374</v>
      </c>
      <c r="I94" s="273">
        <v>0</v>
      </c>
      <c r="J94" s="273">
        <v>0</v>
      </c>
      <c r="K94" s="273">
        <v>143163995</v>
      </c>
      <c r="L94" s="273">
        <v>0</v>
      </c>
      <c r="M94" s="272">
        <v>0</v>
      </c>
      <c r="N94" s="328">
        <f t="shared" si="6"/>
        <v>142688369</v>
      </c>
      <c r="O94" s="327">
        <v>0</v>
      </c>
      <c r="P94" s="327">
        <v>0</v>
      </c>
      <c r="Q94" s="273">
        <v>3524374</v>
      </c>
      <c r="R94" s="327">
        <v>0</v>
      </c>
      <c r="S94" s="327">
        <v>0</v>
      </c>
      <c r="T94" s="275">
        <v>139163995</v>
      </c>
      <c r="U94" s="327">
        <v>0</v>
      </c>
      <c r="V94" s="327">
        <v>0</v>
      </c>
      <c r="W94" s="344">
        <v>542074</v>
      </c>
    </row>
    <row r="95" spans="1:23" s="218" customFormat="1" ht="45" customHeight="1">
      <c r="A95" s="287"/>
      <c r="B95" s="301" t="s">
        <v>882</v>
      </c>
      <c r="C95" s="285"/>
      <c r="D95" s="286" t="s">
        <v>746</v>
      </c>
      <c r="E95" s="270">
        <f t="shared" si="5"/>
        <v>84090985</v>
      </c>
      <c r="F95" s="274">
        <v>0</v>
      </c>
      <c r="G95" s="274">
        <v>0</v>
      </c>
      <c r="H95" s="274">
        <v>1986407</v>
      </c>
      <c r="I95" s="274">
        <v>0</v>
      </c>
      <c r="J95" s="274">
        <v>0</v>
      </c>
      <c r="K95" s="273">
        <v>82104578</v>
      </c>
      <c r="L95" s="273">
        <v>0</v>
      </c>
      <c r="M95" s="272">
        <v>0</v>
      </c>
      <c r="N95" s="328">
        <f t="shared" si="6"/>
        <v>90574818</v>
      </c>
      <c r="O95" s="327">
        <v>0</v>
      </c>
      <c r="P95" s="327">
        <v>0</v>
      </c>
      <c r="Q95" s="274">
        <v>1986407</v>
      </c>
      <c r="R95" s="327">
        <v>0</v>
      </c>
      <c r="S95" s="327">
        <v>0</v>
      </c>
      <c r="T95" s="275">
        <v>88588411</v>
      </c>
      <c r="U95" s="327">
        <v>0</v>
      </c>
      <c r="V95" s="327">
        <v>0</v>
      </c>
      <c r="W95" s="345">
        <v>542075</v>
      </c>
    </row>
    <row r="96" spans="1:23" ht="45" customHeight="1">
      <c r="A96" s="283"/>
      <c r="B96" s="472" t="s">
        <v>747</v>
      </c>
      <c r="C96" s="473"/>
      <c r="D96" s="474"/>
      <c r="E96" s="270"/>
      <c r="F96" s="273"/>
      <c r="G96" s="273"/>
      <c r="H96" s="273"/>
      <c r="I96" s="273"/>
      <c r="J96" s="273"/>
      <c r="K96" s="273"/>
      <c r="L96" s="273"/>
      <c r="M96" s="272"/>
      <c r="N96" s="328"/>
      <c r="O96" s="327"/>
      <c r="P96" s="327"/>
      <c r="Q96" s="327"/>
      <c r="R96" s="327"/>
      <c r="S96" s="327"/>
      <c r="T96" s="327"/>
      <c r="U96" s="327"/>
      <c r="V96" s="327"/>
      <c r="W96" s="344"/>
    </row>
    <row r="97" spans="1:23" ht="45" customHeight="1">
      <c r="A97" s="284"/>
      <c r="B97" s="301" t="s">
        <v>883</v>
      </c>
      <c r="C97" s="288"/>
      <c r="D97" s="289" t="s">
        <v>358</v>
      </c>
      <c r="E97" s="270">
        <f t="shared" si="5"/>
        <v>114300</v>
      </c>
      <c r="F97" s="273">
        <v>0</v>
      </c>
      <c r="G97" s="273">
        <v>0</v>
      </c>
      <c r="H97" s="273">
        <v>0</v>
      </c>
      <c r="I97" s="273">
        <v>0</v>
      </c>
      <c r="J97" s="273">
        <v>0</v>
      </c>
      <c r="K97" s="273">
        <v>114300</v>
      </c>
      <c r="L97" s="273">
        <v>0</v>
      </c>
      <c r="M97" s="272">
        <v>0</v>
      </c>
      <c r="N97" s="328">
        <f t="shared" si="6"/>
        <v>114300</v>
      </c>
      <c r="O97" s="327">
        <v>0</v>
      </c>
      <c r="P97" s="327">
        <v>0</v>
      </c>
      <c r="Q97" s="327">
        <v>0</v>
      </c>
      <c r="R97" s="327">
        <v>0</v>
      </c>
      <c r="S97" s="327">
        <v>0</v>
      </c>
      <c r="T97" s="275">
        <v>114300</v>
      </c>
      <c r="U97" s="327">
        <v>0</v>
      </c>
      <c r="V97" s="327">
        <v>0</v>
      </c>
      <c r="W97" s="344">
        <v>542076</v>
      </c>
    </row>
    <row r="98" spans="1:23" ht="45" customHeight="1">
      <c r="A98" s="284"/>
      <c r="B98" s="472" t="s">
        <v>748</v>
      </c>
      <c r="C98" s="473"/>
      <c r="D98" s="474"/>
      <c r="E98" s="270"/>
      <c r="F98" s="273"/>
      <c r="G98" s="273"/>
      <c r="H98" s="273"/>
      <c r="I98" s="273"/>
      <c r="J98" s="273"/>
      <c r="K98" s="273"/>
      <c r="L98" s="273"/>
      <c r="M98" s="272"/>
      <c r="N98" s="328"/>
      <c r="O98" s="327"/>
      <c r="P98" s="327"/>
      <c r="Q98" s="273"/>
      <c r="R98" s="273"/>
      <c r="S98" s="273"/>
      <c r="T98" s="275"/>
      <c r="U98" s="342"/>
      <c r="V98" s="327"/>
      <c r="W98" s="344"/>
    </row>
    <row r="99" spans="1:23" ht="45" customHeight="1">
      <c r="A99" s="284"/>
      <c r="B99" s="301" t="s">
        <v>884</v>
      </c>
      <c r="C99" s="285"/>
      <c r="D99" s="286" t="s">
        <v>690</v>
      </c>
      <c r="E99" s="270">
        <f aca="true" t="shared" si="7" ref="E99:E159">SUM(F99:M99)</f>
        <v>73539923</v>
      </c>
      <c r="F99" s="273">
        <v>0</v>
      </c>
      <c r="G99" s="273">
        <v>0</v>
      </c>
      <c r="H99" s="273">
        <v>1642491</v>
      </c>
      <c r="I99" s="273">
        <v>0</v>
      </c>
      <c r="J99" s="273">
        <v>0</v>
      </c>
      <c r="K99" s="273">
        <v>71897432</v>
      </c>
      <c r="L99" s="273">
        <v>0</v>
      </c>
      <c r="M99" s="272">
        <v>0</v>
      </c>
      <c r="N99" s="328">
        <f t="shared" si="6"/>
        <v>70539923</v>
      </c>
      <c r="O99" s="327">
        <v>0</v>
      </c>
      <c r="P99" s="327">
        <v>0</v>
      </c>
      <c r="Q99" s="273">
        <v>1642491</v>
      </c>
      <c r="R99" s="327">
        <v>0</v>
      </c>
      <c r="S99" s="327">
        <v>0</v>
      </c>
      <c r="T99" s="275">
        <v>68897432</v>
      </c>
      <c r="U99" s="327">
        <v>0</v>
      </c>
      <c r="V99" s="327">
        <v>0</v>
      </c>
      <c r="W99" s="344">
        <v>542077</v>
      </c>
    </row>
    <row r="100" spans="1:23" ht="45" customHeight="1">
      <c r="A100" s="284"/>
      <c r="B100" s="301" t="s">
        <v>885</v>
      </c>
      <c r="C100" s="285"/>
      <c r="D100" s="286" t="s">
        <v>691</v>
      </c>
      <c r="E100" s="270">
        <f t="shared" si="7"/>
        <v>339042419</v>
      </c>
      <c r="F100" s="273">
        <v>0</v>
      </c>
      <c r="G100" s="273">
        <v>0</v>
      </c>
      <c r="H100" s="273">
        <v>4851146</v>
      </c>
      <c r="I100" s="273">
        <v>0</v>
      </c>
      <c r="J100" s="273">
        <v>0</v>
      </c>
      <c r="K100" s="273">
        <v>334191273</v>
      </c>
      <c r="L100" s="273">
        <v>0</v>
      </c>
      <c r="M100" s="272">
        <v>0</v>
      </c>
      <c r="N100" s="328">
        <f t="shared" si="6"/>
        <v>337542419</v>
      </c>
      <c r="O100" s="327">
        <v>0</v>
      </c>
      <c r="P100" s="327">
        <v>0</v>
      </c>
      <c r="Q100" s="273">
        <v>4851146</v>
      </c>
      <c r="R100" s="327">
        <v>0</v>
      </c>
      <c r="S100" s="327">
        <v>0</v>
      </c>
      <c r="T100" s="275">
        <v>332691273</v>
      </c>
      <c r="U100" s="327">
        <v>0</v>
      </c>
      <c r="V100" s="327">
        <v>0</v>
      </c>
      <c r="W100" s="344">
        <v>542078</v>
      </c>
    </row>
    <row r="101" spans="1:23" ht="45" customHeight="1">
      <c r="A101" s="284"/>
      <c r="B101" s="301" t="s">
        <v>886</v>
      </c>
      <c r="C101" s="285"/>
      <c r="D101" s="286" t="s">
        <v>692</v>
      </c>
      <c r="E101" s="270">
        <f t="shared" si="7"/>
        <v>63290681</v>
      </c>
      <c r="F101" s="273">
        <v>0</v>
      </c>
      <c r="G101" s="273">
        <v>0</v>
      </c>
      <c r="H101" s="273">
        <v>1445895</v>
      </c>
      <c r="I101" s="273">
        <v>0</v>
      </c>
      <c r="J101" s="273">
        <v>0</v>
      </c>
      <c r="K101" s="273">
        <v>61844786</v>
      </c>
      <c r="L101" s="273">
        <v>0</v>
      </c>
      <c r="M101" s="272">
        <v>0</v>
      </c>
      <c r="N101" s="328">
        <f t="shared" si="6"/>
        <v>62290681</v>
      </c>
      <c r="O101" s="327">
        <v>0</v>
      </c>
      <c r="P101" s="327">
        <v>0</v>
      </c>
      <c r="Q101" s="273">
        <v>1445895</v>
      </c>
      <c r="R101" s="327">
        <v>0</v>
      </c>
      <c r="S101" s="327">
        <v>0</v>
      </c>
      <c r="T101" s="275">
        <v>60844786</v>
      </c>
      <c r="U101" s="327">
        <v>0</v>
      </c>
      <c r="V101" s="327">
        <v>0</v>
      </c>
      <c r="W101" s="344">
        <v>542079</v>
      </c>
    </row>
    <row r="102" spans="1:23" ht="45" customHeight="1">
      <c r="A102" s="284"/>
      <c r="B102" s="301" t="s">
        <v>887</v>
      </c>
      <c r="C102" s="285"/>
      <c r="D102" s="286" t="s">
        <v>693</v>
      </c>
      <c r="E102" s="270">
        <f t="shared" si="7"/>
        <v>132857199</v>
      </c>
      <c r="F102" s="273">
        <v>0</v>
      </c>
      <c r="G102" s="273">
        <v>0</v>
      </c>
      <c r="H102" s="273">
        <v>3067812</v>
      </c>
      <c r="I102" s="273">
        <v>0</v>
      </c>
      <c r="J102" s="273">
        <v>0</v>
      </c>
      <c r="K102" s="273">
        <v>129789387</v>
      </c>
      <c r="L102" s="273">
        <v>0</v>
      </c>
      <c r="M102" s="272">
        <v>0</v>
      </c>
      <c r="N102" s="328">
        <f t="shared" si="6"/>
        <v>132357199</v>
      </c>
      <c r="O102" s="327">
        <v>0</v>
      </c>
      <c r="P102" s="327">
        <v>0</v>
      </c>
      <c r="Q102" s="273">
        <v>3067812</v>
      </c>
      <c r="R102" s="327">
        <v>0</v>
      </c>
      <c r="S102" s="327">
        <v>0</v>
      </c>
      <c r="T102" s="275">
        <v>129289387</v>
      </c>
      <c r="U102" s="327">
        <v>0</v>
      </c>
      <c r="V102" s="327">
        <v>0</v>
      </c>
      <c r="W102" s="344">
        <v>542080</v>
      </c>
    </row>
    <row r="103" spans="1:23" ht="45" customHeight="1">
      <c r="A103" s="284"/>
      <c r="B103" s="301" t="s">
        <v>888</v>
      </c>
      <c r="C103" s="285"/>
      <c r="D103" s="286" t="s">
        <v>694</v>
      </c>
      <c r="E103" s="270">
        <f t="shared" si="7"/>
        <v>84439057</v>
      </c>
      <c r="F103" s="273">
        <v>0</v>
      </c>
      <c r="G103" s="273">
        <v>0</v>
      </c>
      <c r="H103" s="273">
        <v>1937385</v>
      </c>
      <c r="I103" s="273">
        <v>0</v>
      </c>
      <c r="J103" s="273">
        <v>0</v>
      </c>
      <c r="K103" s="273">
        <v>82501672</v>
      </c>
      <c r="L103" s="273">
        <v>0</v>
      </c>
      <c r="M103" s="272">
        <v>0</v>
      </c>
      <c r="N103" s="328">
        <f t="shared" si="6"/>
        <v>83939057</v>
      </c>
      <c r="O103" s="327">
        <v>0</v>
      </c>
      <c r="P103" s="327">
        <v>0</v>
      </c>
      <c r="Q103" s="273">
        <v>1937385</v>
      </c>
      <c r="R103" s="327">
        <v>0</v>
      </c>
      <c r="S103" s="327">
        <v>0</v>
      </c>
      <c r="T103" s="275">
        <v>82001672</v>
      </c>
      <c r="U103" s="327">
        <v>0</v>
      </c>
      <c r="V103" s="327">
        <v>0</v>
      </c>
      <c r="W103" s="344">
        <v>542081</v>
      </c>
    </row>
    <row r="104" spans="1:23" ht="45" customHeight="1">
      <c r="A104" s="284"/>
      <c r="B104" s="472" t="s">
        <v>1397</v>
      </c>
      <c r="C104" s="473"/>
      <c r="D104" s="474"/>
      <c r="E104" s="270"/>
      <c r="F104" s="273"/>
      <c r="G104" s="273"/>
      <c r="H104" s="273"/>
      <c r="I104" s="273"/>
      <c r="J104" s="273"/>
      <c r="K104" s="273"/>
      <c r="L104" s="273"/>
      <c r="M104" s="272"/>
      <c r="N104" s="328"/>
      <c r="O104" s="327"/>
      <c r="P104" s="327"/>
      <c r="Q104" s="327"/>
      <c r="R104" s="327"/>
      <c r="S104" s="327"/>
      <c r="T104" s="327"/>
      <c r="U104" s="327"/>
      <c r="V104" s="327"/>
      <c r="W104" s="344"/>
    </row>
    <row r="105" spans="1:23" ht="45" customHeight="1">
      <c r="A105" s="284"/>
      <c r="B105" s="301" t="s">
        <v>889</v>
      </c>
      <c r="C105" s="285"/>
      <c r="D105" s="286" t="s">
        <v>1245</v>
      </c>
      <c r="E105" s="270">
        <f t="shared" si="7"/>
        <v>176233367</v>
      </c>
      <c r="F105" s="273">
        <v>0</v>
      </c>
      <c r="G105" s="273">
        <v>0</v>
      </c>
      <c r="H105" s="273">
        <v>3345180</v>
      </c>
      <c r="I105" s="273">
        <v>0</v>
      </c>
      <c r="J105" s="273">
        <v>0</v>
      </c>
      <c r="K105" s="273">
        <v>172888187</v>
      </c>
      <c r="L105" s="273">
        <v>0</v>
      </c>
      <c r="M105" s="272">
        <v>0</v>
      </c>
      <c r="N105" s="328">
        <f t="shared" si="6"/>
        <v>176233367</v>
      </c>
      <c r="O105" s="327">
        <v>0</v>
      </c>
      <c r="P105" s="327">
        <v>0</v>
      </c>
      <c r="Q105" s="273">
        <v>3345180</v>
      </c>
      <c r="R105" s="327">
        <v>0</v>
      </c>
      <c r="S105" s="327">
        <v>0</v>
      </c>
      <c r="T105" s="275">
        <v>172888187</v>
      </c>
      <c r="U105" s="327">
        <v>0</v>
      </c>
      <c r="V105" s="327">
        <v>0</v>
      </c>
      <c r="W105" s="344" t="s">
        <v>1398</v>
      </c>
    </row>
    <row r="106" spans="1:23" ht="45" customHeight="1">
      <c r="A106" s="284"/>
      <c r="B106" s="472" t="s">
        <v>1399</v>
      </c>
      <c r="C106" s="473"/>
      <c r="D106" s="474"/>
      <c r="E106" s="270"/>
      <c r="F106" s="273"/>
      <c r="G106" s="273"/>
      <c r="H106" s="273"/>
      <c r="I106" s="273"/>
      <c r="J106" s="273"/>
      <c r="K106" s="273"/>
      <c r="L106" s="273"/>
      <c r="M106" s="272"/>
      <c r="N106" s="328"/>
      <c r="O106" s="327"/>
      <c r="P106" s="327"/>
      <c r="Q106" s="327"/>
      <c r="R106" s="327"/>
      <c r="S106" s="327"/>
      <c r="T106" s="327"/>
      <c r="U106" s="327"/>
      <c r="V106" s="327"/>
      <c r="W106" s="344"/>
    </row>
    <row r="107" spans="1:23" ht="45" customHeight="1">
      <c r="A107" s="284"/>
      <c r="B107" s="301" t="s">
        <v>890</v>
      </c>
      <c r="C107" s="285"/>
      <c r="D107" s="286" t="s">
        <v>940</v>
      </c>
      <c r="E107" s="270">
        <f t="shared" si="7"/>
        <v>4700</v>
      </c>
      <c r="F107" s="273">
        <v>0</v>
      </c>
      <c r="G107" s="273">
        <v>0</v>
      </c>
      <c r="H107" s="273">
        <v>0</v>
      </c>
      <c r="I107" s="273">
        <v>0</v>
      </c>
      <c r="J107" s="273">
        <v>0</v>
      </c>
      <c r="K107" s="273">
        <v>4700</v>
      </c>
      <c r="L107" s="273">
        <v>0</v>
      </c>
      <c r="M107" s="272">
        <v>0</v>
      </c>
      <c r="N107" s="328">
        <f t="shared" si="6"/>
        <v>4700</v>
      </c>
      <c r="O107" s="327">
        <v>0</v>
      </c>
      <c r="P107" s="327">
        <v>0</v>
      </c>
      <c r="Q107" s="327">
        <v>0</v>
      </c>
      <c r="R107" s="327">
        <v>0</v>
      </c>
      <c r="S107" s="327">
        <v>0</v>
      </c>
      <c r="T107" s="327">
        <v>0</v>
      </c>
      <c r="U107" s="327">
        <v>0</v>
      </c>
      <c r="V107" s="327">
        <v>4700</v>
      </c>
      <c r="W107" s="344" t="s">
        <v>1082</v>
      </c>
    </row>
    <row r="108" spans="1:23" ht="45" customHeight="1">
      <c r="A108" s="284"/>
      <c r="B108" s="301" t="s">
        <v>891</v>
      </c>
      <c r="C108" s="285"/>
      <c r="D108" s="286" t="s">
        <v>941</v>
      </c>
      <c r="E108" s="270">
        <f t="shared" si="7"/>
        <v>618110</v>
      </c>
      <c r="F108" s="273">
        <v>0</v>
      </c>
      <c r="G108" s="273">
        <v>0</v>
      </c>
      <c r="H108" s="273">
        <v>613410</v>
      </c>
      <c r="I108" s="273">
        <v>0</v>
      </c>
      <c r="J108" s="273">
        <v>0</v>
      </c>
      <c r="K108" s="273">
        <v>4700</v>
      </c>
      <c r="L108" s="273">
        <v>0</v>
      </c>
      <c r="M108" s="272">
        <v>0</v>
      </c>
      <c r="N108" s="328">
        <f t="shared" si="6"/>
        <v>618110</v>
      </c>
      <c r="O108" s="327">
        <v>0</v>
      </c>
      <c r="P108" s="327">
        <v>0</v>
      </c>
      <c r="Q108" s="273">
        <v>613410</v>
      </c>
      <c r="R108" s="327">
        <v>0</v>
      </c>
      <c r="S108" s="327">
        <v>0</v>
      </c>
      <c r="T108" s="275">
        <v>4700</v>
      </c>
      <c r="U108" s="327">
        <v>0</v>
      </c>
      <c r="V108" s="327">
        <v>0</v>
      </c>
      <c r="W108" s="344" t="s">
        <v>1083</v>
      </c>
    </row>
    <row r="109" spans="1:23" ht="45" customHeight="1">
      <c r="A109" s="284"/>
      <c r="B109" s="472" t="s">
        <v>1400</v>
      </c>
      <c r="C109" s="473"/>
      <c r="D109" s="474"/>
      <c r="E109" s="270"/>
      <c r="F109" s="273"/>
      <c r="G109" s="273"/>
      <c r="H109" s="273"/>
      <c r="I109" s="273"/>
      <c r="J109" s="273"/>
      <c r="K109" s="273"/>
      <c r="L109" s="273"/>
      <c r="M109" s="272"/>
      <c r="N109" s="328"/>
      <c r="O109" s="327"/>
      <c r="P109" s="327"/>
      <c r="Q109" s="273"/>
      <c r="R109" s="327"/>
      <c r="S109" s="327"/>
      <c r="T109" s="327"/>
      <c r="U109" s="327"/>
      <c r="V109" s="327"/>
      <c r="W109" s="344"/>
    </row>
    <row r="110" spans="1:23" ht="45" customHeight="1">
      <c r="A110" s="284"/>
      <c r="B110" s="301" t="s">
        <v>892</v>
      </c>
      <c r="C110" s="285"/>
      <c r="D110" s="286" t="s">
        <v>359</v>
      </c>
      <c r="E110" s="270">
        <f t="shared" si="7"/>
        <v>1321425397</v>
      </c>
      <c r="F110" s="273">
        <v>0</v>
      </c>
      <c r="G110" s="273">
        <v>0</v>
      </c>
      <c r="H110" s="273">
        <v>278000000</v>
      </c>
      <c r="I110" s="273">
        <v>0</v>
      </c>
      <c r="J110" s="273">
        <v>0</v>
      </c>
      <c r="K110" s="273">
        <v>1043425397</v>
      </c>
      <c r="L110" s="273">
        <v>0</v>
      </c>
      <c r="M110" s="272">
        <v>0</v>
      </c>
      <c r="N110" s="328">
        <f t="shared" si="6"/>
        <v>1321425397</v>
      </c>
      <c r="O110" s="327">
        <v>0</v>
      </c>
      <c r="P110" s="327">
        <v>0</v>
      </c>
      <c r="Q110" s="273">
        <v>278000000</v>
      </c>
      <c r="R110" s="327">
        <v>0</v>
      </c>
      <c r="S110" s="327">
        <v>0</v>
      </c>
      <c r="T110" s="275">
        <v>1043425397</v>
      </c>
      <c r="U110" s="327">
        <v>0</v>
      </c>
      <c r="V110" s="327">
        <v>0</v>
      </c>
      <c r="W110" s="344">
        <v>542083</v>
      </c>
    </row>
    <row r="111" spans="1:23" ht="45" customHeight="1">
      <c r="A111" s="284"/>
      <c r="B111" s="301" t="s">
        <v>893</v>
      </c>
      <c r="C111" s="285"/>
      <c r="D111" s="286" t="s">
        <v>360</v>
      </c>
      <c r="E111" s="270">
        <f t="shared" si="7"/>
        <v>134310687</v>
      </c>
      <c r="F111" s="273">
        <v>0</v>
      </c>
      <c r="G111" s="273">
        <v>0</v>
      </c>
      <c r="H111" s="273">
        <v>89230402</v>
      </c>
      <c r="I111" s="273">
        <v>0</v>
      </c>
      <c r="J111" s="273">
        <v>0</v>
      </c>
      <c r="K111" s="273">
        <v>45080285</v>
      </c>
      <c r="L111" s="273">
        <v>0</v>
      </c>
      <c r="M111" s="272">
        <v>0</v>
      </c>
      <c r="N111" s="328">
        <f t="shared" si="6"/>
        <v>134310687</v>
      </c>
      <c r="O111" s="327">
        <v>0</v>
      </c>
      <c r="P111" s="327">
        <v>0</v>
      </c>
      <c r="Q111" s="273">
        <v>89725702</v>
      </c>
      <c r="R111" s="327">
        <v>0</v>
      </c>
      <c r="S111" s="327">
        <v>0</v>
      </c>
      <c r="T111" s="275">
        <v>43570985</v>
      </c>
      <c r="U111" s="327">
        <v>0</v>
      </c>
      <c r="V111" s="327">
        <v>1014000</v>
      </c>
      <c r="W111" s="344">
        <v>542084</v>
      </c>
    </row>
    <row r="112" spans="1:23" ht="45" customHeight="1">
      <c r="A112" s="284"/>
      <c r="B112" s="301" t="s">
        <v>894</v>
      </c>
      <c r="C112" s="285"/>
      <c r="D112" s="286" t="s">
        <v>361</v>
      </c>
      <c r="E112" s="270">
        <f t="shared" si="7"/>
        <v>3928155515</v>
      </c>
      <c r="F112" s="273">
        <v>4445000</v>
      </c>
      <c r="G112" s="273">
        <v>777880</v>
      </c>
      <c r="H112" s="273">
        <v>1447200433</v>
      </c>
      <c r="I112" s="273">
        <v>0</v>
      </c>
      <c r="J112" s="273">
        <v>0</v>
      </c>
      <c r="K112" s="273">
        <v>2474462202</v>
      </c>
      <c r="L112" s="273">
        <v>1270000</v>
      </c>
      <c r="M112" s="272">
        <v>0</v>
      </c>
      <c r="N112" s="328">
        <f t="shared" si="6"/>
        <v>3557752544</v>
      </c>
      <c r="O112" s="327">
        <v>0</v>
      </c>
      <c r="P112" s="327">
        <v>0</v>
      </c>
      <c r="Q112" s="273">
        <v>1020261238</v>
      </c>
      <c r="R112" s="327">
        <v>0</v>
      </c>
      <c r="S112" s="327">
        <v>0</v>
      </c>
      <c r="T112" s="275">
        <v>2536221306</v>
      </c>
      <c r="U112" s="342">
        <v>1270000</v>
      </c>
      <c r="V112" s="327">
        <v>0</v>
      </c>
      <c r="W112" s="344">
        <v>542085</v>
      </c>
    </row>
    <row r="113" spans="1:23" ht="45" customHeight="1">
      <c r="A113" s="284"/>
      <c r="B113" s="301" t="s">
        <v>895</v>
      </c>
      <c r="C113" s="285"/>
      <c r="D113" s="286" t="s">
        <v>695</v>
      </c>
      <c r="E113" s="270">
        <f t="shared" si="7"/>
        <v>6019075000</v>
      </c>
      <c r="F113" s="273">
        <v>0</v>
      </c>
      <c r="G113" s="273">
        <v>0</v>
      </c>
      <c r="H113" s="273">
        <v>0</v>
      </c>
      <c r="I113" s="273">
        <v>0</v>
      </c>
      <c r="J113" s="273">
        <v>0</v>
      </c>
      <c r="K113" s="273">
        <v>6019075000</v>
      </c>
      <c r="L113" s="273">
        <v>0</v>
      </c>
      <c r="M113" s="272">
        <v>0</v>
      </c>
      <c r="N113" s="328">
        <f t="shared" si="6"/>
        <v>5879850000</v>
      </c>
      <c r="O113" s="327">
        <v>0</v>
      </c>
      <c r="P113" s="327">
        <v>0</v>
      </c>
      <c r="Q113" s="273">
        <v>1250046850</v>
      </c>
      <c r="R113" s="327">
        <v>0</v>
      </c>
      <c r="S113" s="327">
        <v>0</v>
      </c>
      <c r="T113" s="275">
        <v>4629803150</v>
      </c>
      <c r="U113" s="327">
        <v>0</v>
      </c>
      <c r="V113" s="327">
        <v>0</v>
      </c>
      <c r="W113" s="344">
        <v>542086</v>
      </c>
    </row>
    <row r="114" spans="1:23" ht="45" customHeight="1">
      <c r="A114" s="284"/>
      <c r="B114" s="472" t="s">
        <v>749</v>
      </c>
      <c r="C114" s="473"/>
      <c r="D114" s="474"/>
      <c r="E114" s="270"/>
      <c r="F114" s="273"/>
      <c r="G114" s="273"/>
      <c r="H114" s="273"/>
      <c r="I114" s="273"/>
      <c r="J114" s="273"/>
      <c r="K114" s="273"/>
      <c r="L114" s="273"/>
      <c r="M114" s="272"/>
      <c r="N114" s="328"/>
      <c r="O114" s="327"/>
      <c r="P114" s="327"/>
      <c r="Q114" s="327"/>
      <c r="R114" s="327"/>
      <c r="S114" s="327"/>
      <c r="T114" s="327"/>
      <c r="U114" s="327"/>
      <c r="V114" s="327"/>
      <c r="W114" s="344"/>
    </row>
    <row r="115" spans="1:23" ht="45" customHeight="1">
      <c r="A115" s="284"/>
      <c r="B115" s="301" t="s">
        <v>896</v>
      </c>
      <c r="C115" s="285"/>
      <c r="D115" s="286" t="s">
        <v>1440</v>
      </c>
      <c r="E115" s="270">
        <f t="shared" si="7"/>
        <v>1429820075</v>
      </c>
      <c r="F115" s="273">
        <v>0</v>
      </c>
      <c r="G115" s="273">
        <v>0</v>
      </c>
      <c r="H115" s="273">
        <v>16929100</v>
      </c>
      <c r="I115" s="273">
        <v>0</v>
      </c>
      <c r="J115" s="273">
        <v>0</v>
      </c>
      <c r="K115" s="273">
        <v>1412890975</v>
      </c>
      <c r="L115" s="273">
        <v>0</v>
      </c>
      <c r="M115" s="272">
        <v>0</v>
      </c>
      <c r="N115" s="328">
        <f t="shared" si="6"/>
        <v>1389820075</v>
      </c>
      <c r="O115" s="327">
        <v>0</v>
      </c>
      <c r="P115" s="327">
        <v>0</v>
      </c>
      <c r="Q115" s="273">
        <v>18424652</v>
      </c>
      <c r="R115" s="327">
        <v>0</v>
      </c>
      <c r="S115" s="327">
        <v>0</v>
      </c>
      <c r="T115" s="275">
        <v>1371395423</v>
      </c>
      <c r="U115" s="327">
        <v>0</v>
      </c>
      <c r="V115" s="327">
        <v>0</v>
      </c>
      <c r="W115" s="344">
        <v>542087</v>
      </c>
    </row>
    <row r="116" spans="1:23" ht="45" customHeight="1">
      <c r="A116" s="284"/>
      <c r="B116" s="301" t="s">
        <v>897</v>
      </c>
      <c r="C116" s="285"/>
      <c r="D116" s="286" t="s">
        <v>1401</v>
      </c>
      <c r="E116" s="270">
        <f t="shared" si="7"/>
        <v>5000000</v>
      </c>
      <c r="F116" s="273">
        <v>0</v>
      </c>
      <c r="G116" s="273">
        <v>0</v>
      </c>
      <c r="H116" s="273">
        <v>0</v>
      </c>
      <c r="I116" s="273">
        <v>0</v>
      </c>
      <c r="J116" s="273">
        <v>0</v>
      </c>
      <c r="K116" s="273">
        <v>5000000</v>
      </c>
      <c r="L116" s="273">
        <v>0</v>
      </c>
      <c r="M116" s="272">
        <v>0</v>
      </c>
      <c r="N116" s="328">
        <f t="shared" si="6"/>
        <v>0</v>
      </c>
      <c r="O116" s="327">
        <v>0</v>
      </c>
      <c r="P116" s="327">
        <v>0</v>
      </c>
      <c r="Q116" s="327">
        <v>0</v>
      </c>
      <c r="R116" s="327">
        <v>0</v>
      </c>
      <c r="S116" s="327">
        <v>0</v>
      </c>
      <c r="T116" s="327">
        <v>0</v>
      </c>
      <c r="U116" s="327">
        <v>0</v>
      </c>
      <c r="V116" s="327">
        <v>0</v>
      </c>
      <c r="W116" s="344">
        <v>542136</v>
      </c>
    </row>
    <row r="117" spans="1:23" ht="45" customHeight="1">
      <c r="A117" s="284"/>
      <c r="B117" s="301" t="s">
        <v>898</v>
      </c>
      <c r="C117" s="285"/>
      <c r="D117" s="286" t="s">
        <v>1402</v>
      </c>
      <c r="E117" s="270">
        <f t="shared" si="7"/>
        <v>5000000</v>
      </c>
      <c r="F117" s="273">
        <v>0</v>
      </c>
      <c r="G117" s="273">
        <v>0</v>
      </c>
      <c r="H117" s="273">
        <v>0</v>
      </c>
      <c r="I117" s="273">
        <v>0</v>
      </c>
      <c r="J117" s="273">
        <v>0</v>
      </c>
      <c r="K117" s="273">
        <v>5000000</v>
      </c>
      <c r="L117" s="273">
        <v>0</v>
      </c>
      <c r="M117" s="272">
        <v>0</v>
      </c>
      <c r="N117" s="328">
        <f t="shared" si="6"/>
        <v>0</v>
      </c>
      <c r="O117" s="327">
        <v>0</v>
      </c>
      <c r="P117" s="327">
        <v>0</v>
      </c>
      <c r="Q117" s="327">
        <v>0</v>
      </c>
      <c r="R117" s="327">
        <v>0</v>
      </c>
      <c r="S117" s="327">
        <v>0</v>
      </c>
      <c r="T117" s="327">
        <v>0</v>
      </c>
      <c r="U117" s="327">
        <v>0</v>
      </c>
      <c r="V117" s="327">
        <v>0</v>
      </c>
      <c r="W117" s="344">
        <v>542137</v>
      </c>
    </row>
    <row r="118" spans="1:23" ht="45" customHeight="1">
      <c r="A118" s="284"/>
      <c r="B118" s="301" t="s">
        <v>899</v>
      </c>
      <c r="C118" s="285"/>
      <c r="D118" s="286" t="s">
        <v>1403</v>
      </c>
      <c r="E118" s="270">
        <f t="shared" si="7"/>
        <v>15000000</v>
      </c>
      <c r="F118" s="273">
        <v>0</v>
      </c>
      <c r="G118" s="273">
        <v>0</v>
      </c>
      <c r="H118" s="273">
        <v>0</v>
      </c>
      <c r="I118" s="273">
        <v>0</v>
      </c>
      <c r="J118" s="273">
        <v>0</v>
      </c>
      <c r="K118" s="273">
        <v>15000000</v>
      </c>
      <c r="L118" s="273">
        <v>0</v>
      </c>
      <c r="M118" s="272">
        <v>0</v>
      </c>
      <c r="N118" s="328">
        <f t="shared" si="6"/>
        <v>23960143</v>
      </c>
      <c r="O118" s="342">
        <v>8572500</v>
      </c>
      <c r="P118" s="273">
        <v>1417643</v>
      </c>
      <c r="Q118" s="327">
        <v>0</v>
      </c>
      <c r="R118" s="327">
        <v>0</v>
      </c>
      <c r="S118" s="327">
        <v>0</v>
      </c>
      <c r="T118" s="275">
        <v>13970000</v>
      </c>
      <c r="U118" s="327">
        <v>0</v>
      </c>
      <c r="V118" s="327">
        <v>0</v>
      </c>
      <c r="W118" s="344">
        <v>542138</v>
      </c>
    </row>
    <row r="119" spans="1:23" ht="45" customHeight="1">
      <c r="A119" s="284"/>
      <c r="B119" s="301" t="s">
        <v>900</v>
      </c>
      <c r="C119" s="285"/>
      <c r="D119" s="286" t="s">
        <v>1404</v>
      </c>
      <c r="E119" s="270">
        <f t="shared" si="7"/>
        <v>15000000</v>
      </c>
      <c r="F119" s="273">
        <v>0</v>
      </c>
      <c r="G119" s="273">
        <v>0</v>
      </c>
      <c r="H119" s="273">
        <v>0</v>
      </c>
      <c r="I119" s="273">
        <v>0</v>
      </c>
      <c r="J119" s="273">
        <v>0</v>
      </c>
      <c r="K119" s="273">
        <v>15000000</v>
      </c>
      <c r="L119" s="273">
        <v>0</v>
      </c>
      <c r="M119" s="272">
        <v>0</v>
      </c>
      <c r="N119" s="328">
        <f t="shared" si="6"/>
        <v>0</v>
      </c>
      <c r="O119" s="327">
        <v>0</v>
      </c>
      <c r="P119" s="327">
        <v>0</v>
      </c>
      <c r="Q119" s="327">
        <v>0</v>
      </c>
      <c r="R119" s="327">
        <v>0</v>
      </c>
      <c r="S119" s="327">
        <v>0</v>
      </c>
      <c r="T119" s="327">
        <v>0</v>
      </c>
      <c r="U119" s="327">
        <v>0</v>
      </c>
      <c r="V119" s="327">
        <v>0</v>
      </c>
      <c r="W119" s="344">
        <v>542139</v>
      </c>
    </row>
    <row r="120" spans="1:23" ht="45" customHeight="1">
      <c r="A120" s="284"/>
      <c r="B120" s="301" t="s">
        <v>901</v>
      </c>
      <c r="C120" s="285"/>
      <c r="D120" s="286" t="s">
        <v>1405</v>
      </c>
      <c r="E120" s="270">
        <f t="shared" si="7"/>
        <v>0</v>
      </c>
      <c r="F120" s="273">
        <v>0</v>
      </c>
      <c r="G120" s="273">
        <v>0</v>
      </c>
      <c r="H120" s="273">
        <v>0</v>
      </c>
      <c r="I120" s="273">
        <v>0</v>
      </c>
      <c r="J120" s="273">
        <v>0</v>
      </c>
      <c r="K120" s="273">
        <v>0</v>
      </c>
      <c r="L120" s="273">
        <v>0</v>
      </c>
      <c r="M120" s="272">
        <v>0</v>
      </c>
      <c r="N120" s="328">
        <f t="shared" si="6"/>
        <v>0</v>
      </c>
      <c r="O120" s="327">
        <v>0</v>
      </c>
      <c r="P120" s="327">
        <v>0</v>
      </c>
      <c r="Q120" s="327">
        <v>0</v>
      </c>
      <c r="R120" s="327">
        <v>0</v>
      </c>
      <c r="S120" s="327">
        <v>0</v>
      </c>
      <c r="T120" s="327">
        <v>0</v>
      </c>
      <c r="U120" s="327">
        <v>0</v>
      </c>
      <c r="V120" s="327">
        <v>0</v>
      </c>
      <c r="W120" s="344">
        <v>542140</v>
      </c>
    </row>
    <row r="121" spans="1:23" ht="45" customHeight="1">
      <c r="A121" s="284"/>
      <c r="B121" s="301" t="s">
        <v>902</v>
      </c>
      <c r="C121" s="285"/>
      <c r="D121" s="286" t="s">
        <v>1406</v>
      </c>
      <c r="E121" s="270">
        <f t="shared" si="7"/>
        <v>15000000</v>
      </c>
      <c r="F121" s="273">
        <v>0</v>
      </c>
      <c r="G121" s="273">
        <v>0</v>
      </c>
      <c r="H121" s="273">
        <v>0</v>
      </c>
      <c r="I121" s="273">
        <v>0</v>
      </c>
      <c r="J121" s="273">
        <v>0</v>
      </c>
      <c r="K121" s="273">
        <v>15000000</v>
      </c>
      <c r="L121" s="273">
        <v>0</v>
      </c>
      <c r="M121" s="272">
        <v>0</v>
      </c>
      <c r="N121" s="328">
        <f t="shared" si="6"/>
        <v>0</v>
      </c>
      <c r="O121" s="327">
        <v>0</v>
      </c>
      <c r="P121" s="327">
        <v>0</v>
      </c>
      <c r="Q121" s="327">
        <v>0</v>
      </c>
      <c r="R121" s="327">
        <v>0</v>
      </c>
      <c r="S121" s="327">
        <v>0</v>
      </c>
      <c r="T121" s="327">
        <v>0</v>
      </c>
      <c r="U121" s="327">
        <v>0</v>
      </c>
      <c r="V121" s="327">
        <v>0</v>
      </c>
      <c r="W121" s="344">
        <v>542141</v>
      </c>
    </row>
    <row r="122" spans="1:23" ht="45" customHeight="1">
      <c r="A122" s="284"/>
      <c r="B122" s="301" t="s">
        <v>903</v>
      </c>
      <c r="C122" s="285"/>
      <c r="D122" s="286" t="s">
        <v>1407</v>
      </c>
      <c r="E122" s="270">
        <f t="shared" si="7"/>
        <v>15000000</v>
      </c>
      <c r="F122" s="273">
        <v>0</v>
      </c>
      <c r="G122" s="273">
        <v>0</v>
      </c>
      <c r="H122" s="273">
        <v>0</v>
      </c>
      <c r="I122" s="273">
        <v>0</v>
      </c>
      <c r="J122" s="273">
        <v>0</v>
      </c>
      <c r="K122" s="273">
        <v>15000000</v>
      </c>
      <c r="L122" s="273">
        <v>0</v>
      </c>
      <c r="M122" s="272">
        <v>0</v>
      </c>
      <c r="N122" s="328">
        <f t="shared" si="6"/>
        <v>0</v>
      </c>
      <c r="O122" s="327">
        <v>0</v>
      </c>
      <c r="P122" s="327">
        <v>0</v>
      </c>
      <c r="Q122" s="327">
        <v>0</v>
      </c>
      <c r="R122" s="327">
        <v>0</v>
      </c>
      <c r="S122" s="327">
        <v>0</v>
      </c>
      <c r="T122" s="327">
        <v>0</v>
      </c>
      <c r="U122" s="327">
        <v>0</v>
      </c>
      <c r="V122" s="327">
        <v>0</v>
      </c>
      <c r="W122" s="344">
        <v>542142</v>
      </c>
    </row>
    <row r="123" spans="1:23" ht="45" customHeight="1">
      <c r="A123" s="284"/>
      <c r="B123" s="301" t="s">
        <v>904</v>
      </c>
      <c r="C123" s="285"/>
      <c r="D123" s="286" t="s">
        <v>1408</v>
      </c>
      <c r="E123" s="270">
        <f t="shared" si="7"/>
        <v>5000000</v>
      </c>
      <c r="F123" s="273">
        <v>0</v>
      </c>
      <c r="G123" s="273">
        <v>0</v>
      </c>
      <c r="H123" s="273">
        <v>0</v>
      </c>
      <c r="I123" s="273">
        <v>0</v>
      </c>
      <c r="J123" s="273">
        <v>0</v>
      </c>
      <c r="K123" s="273">
        <v>5000000</v>
      </c>
      <c r="L123" s="273">
        <v>0</v>
      </c>
      <c r="M123" s="272">
        <v>0</v>
      </c>
      <c r="N123" s="328">
        <f t="shared" si="6"/>
        <v>0</v>
      </c>
      <c r="O123" s="327">
        <v>0</v>
      </c>
      <c r="P123" s="327">
        <v>0</v>
      </c>
      <c r="Q123" s="327">
        <v>0</v>
      </c>
      <c r="R123" s="327">
        <v>0</v>
      </c>
      <c r="S123" s="327">
        <v>0</v>
      </c>
      <c r="T123" s="327">
        <v>0</v>
      </c>
      <c r="U123" s="327">
        <v>0</v>
      </c>
      <c r="V123" s="327">
        <v>0</v>
      </c>
      <c r="W123" s="344">
        <v>542143</v>
      </c>
    </row>
    <row r="124" spans="1:23" ht="45" customHeight="1">
      <c r="A124" s="284"/>
      <c r="B124" s="301" t="s">
        <v>905</v>
      </c>
      <c r="C124" s="285"/>
      <c r="D124" s="286" t="s">
        <v>1409</v>
      </c>
      <c r="E124" s="270">
        <v>0</v>
      </c>
      <c r="F124" s="273">
        <v>0</v>
      </c>
      <c r="G124" s="273">
        <v>0</v>
      </c>
      <c r="H124" s="273">
        <v>0</v>
      </c>
      <c r="I124" s="273">
        <v>0</v>
      </c>
      <c r="J124" s="273">
        <v>0</v>
      </c>
      <c r="K124" s="273">
        <v>0</v>
      </c>
      <c r="L124" s="273">
        <v>0</v>
      </c>
      <c r="M124" s="272">
        <v>0</v>
      </c>
      <c r="N124" s="328">
        <f t="shared" si="6"/>
        <v>0</v>
      </c>
      <c r="O124" s="327">
        <v>0</v>
      </c>
      <c r="P124" s="327">
        <v>0</v>
      </c>
      <c r="Q124" s="327">
        <v>0</v>
      </c>
      <c r="R124" s="327">
        <v>0</v>
      </c>
      <c r="S124" s="327">
        <v>0</v>
      </c>
      <c r="T124" s="327">
        <v>0</v>
      </c>
      <c r="U124" s="327">
        <v>0</v>
      </c>
      <c r="V124" s="327">
        <v>0</v>
      </c>
      <c r="W124" s="344">
        <v>542144</v>
      </c>
    </row>
    <row r="125" spans="1:23" ht="45" customHeight="1">
      <c r="A125" s="284"/>
      <c r="B125" s="301" t="s">
        <v>906</v>
      </c>
      <c r="C125" s="285"/>
      <c r="D125" s="286" t="s">
        <v>976</v>
      </c>
      <c r="E125" s="270">
        <f t="shared" si="7"/>
        <v>1146545569</v>
      </c>
      <c r="F125" s="273">
        <v>0</v>
      </c>
      <c r="G125" s="273">
        <v>0</v>
      </c>
      <c r="H125" s="273">
        <v>84317754</v>
      </c>
      <c r="I125" s="273">
        <v>0</v>
      </c>
      <c r="J125" s="273">
        <v>0</v>
      </c>
      <c r="K125" s="273">
        <v>1062227815</v>
      </c>
      <c r="L125" s="273">
        <v>0</v>
      </c>
      <c r="M125" s="272">
        <v>0</v>
      </c>
      <c r="N125" s="328">
        <f t="shared" si="6"/>
        <v>1497755660</v>
      </c>
      <c r="O125" s="327">
        <v>0</v>
      </c>
      <c r="P125" s="327">
        <v>0</v>
      </c>
      <c r="Q125" s="273">
        <v>213162694</v>
      </c>
      <c r="R125" s="327">
        <v>0</v>
      </c>
      <c r="S125" s="327">
        <v>0</v>
      </c>
      <c r="T125" s="275">
        <v>1284592966</v>
      </c>
      <c r="U125" s="327">
        <v>0</v>
      </c>
      <c r="V125" s="327">
        <v>0</v>
      </c>
      <c r="W125" s="344" t="s">
        <v>1250</v>
      </c>
    </row>
    <row r="126" spans="1:23" ht="45" customHeight="1">
      <c r="A126" s="284"/>
      <c r="B126" s="472" t="s">
        <v>750</v>
      </c>
      <c r="C126" s="473"/>
      <c r="D126" s="474"/>
      <c r="E126" s="270"/>
      <c r="F126" s="273"/>
      <c r="G126" s="273"/>
      <c r="H126" s="273"/>
      <c r="I126" s="273"/>
      <c r="J126" s="273"/>
      <c r="K126" s="273"/>
      <c r="L126" s="273"/>
      <c r="M126" s="272"/>
      <c r="N126" s="328"/>
      <c r="O126" s="327"/>
      <c r="P126" s="327"/>
      <c r="Q126" s="327"/>
      <c r="R126" s="327"/>
      <c r="S126" s="327"/>
      <c r="T126" s="327"/>
      <c r="U126" s="327"/>
      <c r="V126" s="327"/>
      <c r="W126" s="344"/>
    </row>
    <row r="127" spans="1:23" ht="45" customHeight="1">
      <c r="A127" s="284"/>
      <c r="B127" s="301" t="s">
        <v>907</v>
      </c>
      <c r="C127" s="285"/>
      <c r="D127" s="286" t="s">
        <v>1410</v>
      </c>
      <c r="E127" s="270">
        <f t="shared" si="7"/>
        <v>1779322192</v>
      </c>
      <c r="F127" s="273">
        <v>0</v>
      </c>
      <c r="G127" s="273">
        <v>0</v>
      </c>
      <c r="H127" s="273">
        <v>4632960</v>
      </c>
      <c r="I127" s="273">
        <v>0</v>
      </c>
      <c r="J127" s="273">
        <v>0</v>
      </c>
      <c r="K127" s="273">
        <v>1772282179</v>
      </c>
      <c r="L127" s="273">
        <v>0</v>
      </c>
      <c r="M127" s="272">
        <v>2407053</v>
      </c>
      <c r="N127" s="328">
        <f t="shared" si="6"/>
        <v>1945022312</v>
      </c>
      <c r="O127" s="327">
        <v>0</v>
      </c>
      <c r="P127" s="327">
        <v>0</v>
      </c>
      <c r="Q127" s="273">
        <v>121044871</v>
      </c>
      <c r="R127" s="327">
        <v>0</v>
      </c>
      <c r="S127" s="273">
        <v>1222971</v>
      </c>
      <c r="T127" s="275">
        <v>1819247569</v>
      </c>
      <c r="U127" s="327">
        <v>0</v>
      </c>
      <c r="V127" s="327">
        <v>3506901</v>
      </c>
      <c r="W127" s="344">
        <v>542089</v>
      </c>
    </row>
    <row r="128" spans="1:23" ht="45" customHeight="1">
      <c r="A128" s="284"/>
      <c r="B128" s="301" t="s">
        <v>908</v>
      </c>
      <c r="C128" s="285"/>
      <c r="D128" s="286" t="s">
        <v>1411</v>
      </c>
      <c r="E128" s="270">
        <f t="shared" si="7"/>
        <v>1779763367</v>
      </c>
      <c r="F128" s="273">
        <v>0</v>
      </c>
      <c r="G128" s="273">
        <v>0</v>
      </c>
      <c r="H128" s="273">
        <v>4634230</v>
      </c>
      <c r="I128" s="273">
        <v>0</v>
      </c>
      <c r="J128" s="273">
        <v>0</v>
      </c>
      <c r="K128" s="273">
        <v>1772468157</v>
      </c>
      <c r="L128" s="273">
        <v>0</v>
      </c>
      <c r="M128" s="272">
        <v>2660980</v>
      </c>
      <c r="N128" s="328">
        <f t="shared" si="6"/>
        <v>1845387683</v>
      </c>
      <c r="O128" s="327">
        <v>0</v>
      </c>
      <c r="P128" s="327">
        <v>0</v>
      </c>
      <c r="Q128" s="273">
        <v>80233411</v>
      </c>
      <c r="R128" s="327">
        <v>0</v>
      </c>
      <c r="S128" s="273">
        <v>1222971</v>
      </c>
      <c r="T128" s="275">
        <v>1760016254</v>
      </c>
      <c r="U128" s="327">
        <v>0</v>
      </c>
      <c r="V128" s="327">
        <v>3915047</v>
      </c>
      <c r="W128" s="346">
        <v>542090</v>
      </c>
    </row>
    <row r="129" spans="1:23" ht="45" customHeight="1">
      <c r="A129" s="284"/>
      <c r="B129" s="301" t="s">
        <v>909</v>
      </c>
      <c r="C129" s="285"/>
      <c r="D129" s="286" t="s">
        <v>1412</v>
      </c>
      <c r="E129" s="270">
        <f t="shared" si="7"/>
        <v>520000000</v>
      </c>
      <c r="F129" s="273">
        <v>0</v>
      </c>
      <c r="G129" s="273">
        <v>0</v>
      </c>
      <c r="H129" s="273">
        <v>0</v>
      </c>
      <c r="I129" s="273">
        <v>0</v>
      </c>
      <c r="J129" s="273">
        <v>0</v>
      </c>
      <c r="K129" s="273">
        <v>520000000</v>
      </c>
      <c r="L129" s="273">
        <v>0</v>
      </c>
      <c r="M129" s="272">
        <v>0</v>
      </c>
      <c r="N129" s="328">
        <f t="shared" si="6"/>
        <v>520000000</v>
      </c>
      <c r="O129" s="327">
        <v>0</v>
      </c>
      <c r="P129" s="327">
        <v>0</v>
      </c>
      <c r="Q129" s="327">
        <v>0</v>
      </c>
      <c r="R129" s="327">
        <v>0</v>
      </c>
      <c r="S129" s="327">
        <v>0</v>
      </c>
      <c r="T129" s="275">
        <v>520000000</v>
      </c>
      <c r="U129" s="327">
        <v>0</v>
      </c>
      <c r="V129" s="327">
        <v>0</v>
      </c>
      <c r="W129" s="344">
        <v>542152</v>
      </c>
    </row>
    <row r="130" spans="1:23" ht="45" customHeight="1">
      <c r="A130" s="284"/>
      <c r="B130" s="301" t="s">
        <v>910</v>
      </c>
      <c r="C130" s="285"/>
      <c r="D130" s="286" t="s">
        <v>1413</v>
      </c>
      <c r="E130" s="270">
        <f t="shared" si="7"/>
        <v>3200000</v>
      </c>
      <c r="F130" s="273">
        <v>0</v>
      </c>
      <c r="G130" s="273">
        <v>0</v>
      </c>
      <c r="H130" s="273">
        <v>0</v>
      </c>
      <c r="I130" s="273">
        <v>0</v>
      </c>
      <c r="J130" s="273">
        <v>0</v>
      </c>
      <c r="K130" s="273">
        <v>3200000</v>
      </c>
      <c r="L130" s="273">
        <v>0</v>
      </c>
      <c r="M130" s="272">
        <v>0</v>
      </c>
      <c r="N130" s="328">
        <f t="shared" si="6"/>
        <v>3200000</v>
      </c>
      <c r="O130" s="327">
        <v>0</v>
      </c>
      <c r="P130" s="327">
        <v>0</v>
      </c>
      <c r="Q130" s="327">
        <v>0</v>
      </c>
      <c r="R130" s="327">
        <v>0</v>
      </c>
      <c r="S130" s="327">
        <v>0</v>
      </c>
      <c r="T130" s="275">
        <v>3200000</v>
      </c>
      <c r="U130" s="327">
        <v>0</v>
      </c>
      <c r="V130" s="327">
        <v>0</v>
      </c>
      <c r="W130" s="344">
        <v>542092</v>
      </c>
    </row>
    <row r="131" spans="1:23" ht="18">
      <c r="A131" s="284"/>
      <c r="B131" s="301" t="s">
        <v>911</v>
      </c>
      <c r="C131" s="285"/>
      <c r="D131" s="286" t="s">
        <v>942</v>
      </c>
      <c r="E131" s="270">
        <f t="shared" si="7"/>
        <v>20000000</v>
      </c>
      <c r="F131" s="273">
        <v>0</v>
      </c>
      <c r="G131" s="273">
        <v>0</v>
      </c>
      <c r="H131" s="273">
        <v>0</v>
      </c>
      <c r="I131" s="273">
        <v>0</v>
      </c>
      <c r="J131" s="273">
        <v>0</v>
      </c>
      <c r="K131" s="273">
        <v>20000000</v>
      </c>
      <c r="L131" s="273">
        <v>0</v>
      </c>
      <c r="M131" s="272">
        <v>0</v>
      </c>
      <c r="N131" s="328">
        <f t="shared" si="6"/>
        <v>0</v>
      </c>
      <c r="O131" s="327">
        <v>0</v>
      </c>
      <c r="P131" s="327">
        <v>0</v>
      </c>
      <c r="Q131" s="327">
        <v>0</v>
      </c>
      <c r="R131" s="327">
        <v>0</v>
      </c>
      <c r="S131" s="327">
        <v>0</v>
      </c>
      <c r="T131" s="327">
        <v>0</v>
      </c>
      <c r="U131" s="327">
        <v>0</v>
      </c>
      <c r="V131" s="327">
        <v>0</v>
      </c>
      <c r="W131" s="344">
        <v>542094</v>
      </c>
    </row>
    <row r="132" spans="1:23" ht="45" customHeight="1">
      <c r="A132" s="284"/>
      <c r="B132" s="472" t="s">
        <v>362</v>
      </c>
      <c r="C132" s="473"/>
      <c r="D132" s="474"/>
      <c r="E132" s="270"/>
      <c r="F132" s="273"/>
      <c r="G132" s="273"/>
      <c r="H132" s="273"/>
      <c r="I132" s="273"/>
      <c r="J132" s="273"/>
      <c r="K132" s="273"/>
      <c r="L132" s="273"/>
      <c r="M132" s="272"/>
      <c r="N132" s="328"/>
      <c r="O132" s="342"/>
      <c r="P132" s="273"/>
      <c r="Q132" s="273"/>
      <c r="R132" s="273"/>
      <c r="S132" s="273"/>
      <c r="T132" s="275"/>
      <c r="U132" s="342"/>
      <c r="V132" s="327"/>
      <c r="W132" s="344"/>
    </row>
    <row r="133" spans="1:23" ht="30">
      <c r="A133" s="284"/>
      <c r="B133" s="301" t="s">
        <v>912</v>
      </c>
      <c r="C133" s="285"/>
      <c r="D133" s="286" t="s">
        <v>363</v>
      </c>
      <c r="E133" s="270">
        <f t="shared" si="7"/>
        <v>40000000</v>
      </c>
      <c r="F133" s="273">
        <v>0</v>
      </c>
      <c r="G133" s="273">
        <v>0</v>
      </c>
      <c r="H133" s="273">
        <v>0</v>
      </c>
      <c r="I133" s="273">
        <v>0</v>
      </c>
      <c r="J133" s="273">
        <v>0</v>
      </c>
      <c r="K133" s="273">
        <v>40000000</v>
      </c>
      <c r="L133" s="273">
        <v>0</v>
      </c>
      <c r="M133" s="272">
        <v>0</v>
      </c>
      <c r="N133" s="328">
        <f t="shared" si="6"/>
        <v>15000000</v>
      </c>
      <c r="O133" s="327">
        <v>0</v>
      </c>
      <c r="P133" s="327">
        <v>0</v>
      </c>
      <c r="Q133" s="327">
        <v>0</v>
      </c>
      <c r="R133" s="327">
        <v>0</v>
      </c>
      <c r="S133" s="327">
        <v>0</v>
      </c>
      <c r="T133" s="275">
        <v>15000000</v>
      </c>
      <c r="U133" s="327">
        <v>0</v>
      </c>
      <c r="V133" s="327">
        <v>0</v>
      </c>
      <c r="W133" s="344">
        <v>542095</v>
      </c>
    </row>
    <row r="134" spans="1:23" ht="45" customHeight="1">
      <c r="A134" s="284"/>
      <c r="B134" s="301" t="s">
        <v>913</v>
      </c>
      <c r="C134" s="285"/>
      <c r="D134" s="286" t="s">
        <v>364</v>
      </c>
      <c r="E134" s="270">
        <f t="shared" si="7"/>
        <v>504003051</v>
      </c>
      <c r="F134" s="273">
        <v>0</v>
      </c>
      <c r="G134" s="273">
        <v>0</v>
      </c>
      <c r="H134" s="273">
        <v>1233160</v>
      </c>
      <c r="I134" s="273">
        <v>0</v>
      </c>
      <c r="J134" s="273">
        <v>0</v>
      </c>
      <c r="K134" s="273">
        <v>502769891</v>
      </c>
      <c r="L134" s="273">
        <v>0</v>
      </c>
      <c r="M134" s="272">
        <v>0</v>
      </c>
      <c r="N134" s="328">
        <f t="shared" si="6"/>
        <v>937335557</v>
      </c>
      <c r="O134" s="327">
        <v>0</v>
      </c>
      <c r="P134" s="327">
        <v>0</v>
      </c>
      <c r="Q134" s="273">
        <v>19267486</v>
      </c>
      <c r="R134" s="327">
        <v>0</v>
      </c>
      <c r="S134" s="327">
        <v>0</v>
      </c>
      <c r="T134" s="275">
        <v>918018071</v>
      </c>
      <c r="U134" s="327">
        <v>0</v>
      </c>
      <c r="V134" s="327">
        <v>50000</v>
      </c>
      <c r="W134" s="344">
        <v>542096</v>
      </c>
    </row>
    <row r="135" spans="1:23" ht="45" customHeight="1">
      <c r="A135" s="284"/>
      <c r="B135" s="301" t="s">
        <v>914</v>
      </c>
      <c r="C135" s="285"/>
      <c r="D135" s="286" t="s">
        <v>365</v>
      </c>
      <c r="E135" s="270">
        <f t="shared" si="7"/>
        <v>76141327</v>
      </c>
      <c r="F135" s="273">
        <v>0</v>
      </c>
      <c r="G135" s="273">
        <v>0</v>
      </c>
      <c r="H135" s="273">
        <v>51091643</v>
      </c>
      <c r="I135" s="273">
        <v>0</v>
      </c>
      <c r="J135" s="273">
        <v>0</v>
      </c>
      <c r="K135" s="273">
        <v>25049684</v>
      </c>
      <c r="L135" s="273">
        <v>0</v>
      </c>
      <c r="M135" s="272">
        <v>0</v>
      </c>
      <c r="N135" s="328">
        <f t="shared" si="6"/>
        <v>75677136</v>
      </c>
      <c r="O135" s="327">
        <v>0</v>
      </c>
      <c r="P135" s="327">
        <v>0</v>
      </c>
      <c r="Q135" s="273">
        <v>50467149</v>
      </c>
      <c r="R135" s="327">
        <v>0</v>
      </c>
      <c r="S135" s="327">
        <v>0</v>
      </c>
      <c r="T135" s="275">
        <v>25209987</v>
      </c>
      <c r="U135" s="327">
        <v>0</v>
      </c>
      <c r="V135" s="327">
        <v>0</v>
      </c>
      <c r="W135" s="344">
        <v>542097</v>
      </c>
    </row>
    <row r="136" spans="1:23" ht="45" customHeight="1">
      <c r="A136" s="284"/>
      <c r="B136" s="301" t="s">
        <v>915</v>
      </c>
      <c r="C136" s="285"/>
      <c r="D136" s="286" t="s">
        <v>366</v>
      </c>
      <c r="E136" s="270">
        <f t="shared" si="7"/>
        <v>160860614</v>
      </c>
      <c r="F136" s="273">
        <v>0</v>
      </c>
      <c r="G136" s="273">
        <v>0</v>
      </c>
      <c r="H136" s="273">
        <v>45849384</v>
      </c>
      <c r="I136" s="273">
        <v>0</v>
      </c>
      <c r="J136" s="273">
        <v>0</v>
      </c>
      <c r="K136" s="273">
        <v>114439730</v>
      </c>
      <c r="L136" s="273">
        <v>571500</v>
      </c>
      <c r="M136" s="272">
        <v>0</v>
      </c>
      <c r="N136" s="328">
        <f t="shared" si="6"/>
        <v>148522661</v>
      </c>
      <c r="O136" s="327">
        <v>0</v>
      </c>
      <c r="P136" s="327">
        <v>0</v>
      </c>
      <c r="Q136" s="273">
        <v>41082121</v>
      </c>
      <c r="R136" s="327">
        <v>0</v>
      </c>
      <c r="S136" s="327">
        <v>0</v>
      </c>
      <c r="T136" s="275">
        <v>101851540</v>
      </c>
      <c r="U136" s="342">
        <v>571500</v>
      </c>
      <c r="V136" s="327">
        <v>5017500</v>
      </c>
      <c r="W136" s="344">
        <v>542098</v>
      </c>
    </row>
    <row r="137" spans="1:23" ht="18">
      <c r="A137" s="284"/>
      <c r="B137" s="301" t="s">
        <v>916</v>
      </c>
      <c r="C137" s="285"/>
      <c r="D137" s="286" t="s">
        <v>367</v>
      </c>
      <c r="E137" s="270">
        <f t="shared" si="7"/>
        <v>93814731</v>
      </c>
      <c r="F137" s="273">
        <v>0</v>
      </c>
      <c r="G137" s="273">
        <v>0</v>
      </c>
      <c r="H137" s="273">
        <v>2697996</v>
      </c>
      <c r="I137" s="273">
        <v>0</v>
      </c>
      <c r="J137" s="273">
        <v>0</v>
      </c>
      <c r="K137" s="273">
        <v>0</v>
      </c>
      <c r="L137" s="273">
        <v>91116735</v>
      </c>
      <c r="M137" s="272">
        <v>0</v>
      </c>
      <c r="N137" s="328">
        <f t="shared" si="6"/>
        <v>93814731</v>
      </c>
      <c r="O137" s="327">
        <v>0</v>
      </c>
      <c r="P137" s="327">
        <v>0</v>
      </c>
      <c r="Q137" s="273">
        <v>2697996</v>
      </c>
      <c r="R137" s="327">
        <v>0</v>
      </c>
      <c r="S137" s="327">
        <v>0</v>
      </c>
      <c r="T137" s="327">
        <v>0</v>
      </c>
      <c r="U137" s="342">
        <v>91116735</v>
      </c>
      <c r="V137" s="327">
        <v>0</v>
      </c>
      <c r="W137" s="344">
        <v>542099</v>
      </c>
    </row>
    <row r="138" spans="1:23" ht="45" customHeight="1">
      <c r="A138" s="284"/>
      <c r="B138" s="301" t="s">
        <v>917</v>
      </c>
      <c r="C138" s="285"/>
      <c r="D138" s="286" t="s">
        <v>368</v>
      </c>
      <c r="E138" s="270">
        <f t="shared" si="7"/>
        <v>9015781</v>
      </c>
      <c r="F138" s="273">
        <v>0</v>
      </c>
      <c r="G138" s="273">
        <v>0</v>
      </c>
      <c r="H138" s="273">
        <v>0</v>
      </c>
      <c r="I138" s="273">
        <v>0</v>
      </c>
      <c r="J138" s="273">
        <v>0</v>
      </c>
      <c r="K138" s="273">
        <v>9015781</v>
      </c>
      <c r="L138" s="273">
        <v>0</v>
      </c>
      <c r="M138" s="272">
        <v>0</v>
      </c>
      <c r="N138" s="328">
        <f t="shared" si="6"/>
        <v>9015781</v>
      </c>
      <c r="O138" s="327">
        <v>0</v>
      </c>
      <c r="P138" s="327">
        <v>0</v>
      </c>
      <c r="Q138" s="273"/>
      <c r="R138" s="327">
        <v>0</v>
      </c>
      <c r="S138" s="327">
        <v>0</v>
      </c>
      <c r="T138" s="275">
        <v>9015781</v>
      </c>
      <c r="U138" s="327">
        <v>0</v>
      </c>
      <c r="V138" s="327">
        <v>0</v>
      </c>
      <c r="W138" s="344">
        <v>542100</v>
      </c>
    </row>
    <row r="139" spans="1:23" ht="18">
      <c r="A139" s="284"/>
      <c r="B139" s="301" t="s">
        <v>918</v>
      </c>
      <c r="C139" s="285"/>
      <c r="D139" s="286" t="s">
        <v>765</v>
      </c>
      <c r="E139" s="270">
        <f t="shared" si="7"/>
        <v>31301670</v>
      </c>
      <c r="F139" s="273">
        <v>0</v>
      </c>
      <c r="G139" s="273">
        <v>0</v>
      </c>
      <c r="H139" s="273">
        <v>30000000</v>
      </c>
      <c r="I139" s="273">
        <v>0</v>
      </c>
      <c r="J139" s="273">
        <v>0</v>
      </c>
      <c r="K139" s="273">
        <v>1301670</v>
      </c>
      <c r="L139" s="273">
        <v>0</v>
      </c>
      <c r="M139" s="272">
        <v>0</v>
      </c>
      <c r="N139" s="328">
        <f t="shared" si="6"/>
        <v>31301670</v>
      </c>
      <c r="O139" s="342">
        <v>425000</v>
      </c>
      <c r="P139" s="273">
        <v>74375</v>
      </c>
      <c r="Q139" s="273">
        <v>26063225</v>
      </c>
      <c r="R139" s="327">
        <v>0</v>
      </c>
      <c r="S139" s="327">
        <v>0</v>
      </c>
      <c r="T139" s="275">
        <v>1301670</v>
      </c>
      <c r="U139" s="327">
        <v>0</v>
      </c>
      <c r="V139" s="327">
        <v>3437400</v>
      </c>
      <c r="W139" s="344">
        <v>542101</v>
      </c>
    </row>
    <row r="140" spans="1:23" ht="45" customHeight="1">
      <c r="A140" s="284"/>
      <c r="B140" s="301" t="s">
        <v>919</v>
      </c>
      <c r="C140" s="285"/>
      <c r="D140" s="286" t="s">
        <v>369</v>
      </c>
      <c r="E140" s="270">
        <f t="shared" si="7"/>
        <v>107764217</v>
      </c>
      <c r="F140" s="273">
        <v>0</v>
      </c>
      <c r="G140" s="273">
        <v>0</v>
      </c>
      <c r="H140" s="273">
        <v>0</v>
      </c>
      <c r="I140" s="273">
        <v>0</v>
      </c>
      <c r="J140" s="273">
        <v>0</v>
      </c>
      <c r="K140" s="273">
        <v>103008376</v>
      </c>
      <c r="L140" s="273">
        <v>0</v>
      </c>
      <c r="M140" s="272">
        <v>4755841</v>
      </c>
      <c r="N140" s="328">
        <f aca="true" t="shared" si="8" ref="N140:N165">SUM(O140:V140)</f>
        <v>34350679</v>
      </c>
      <c r="O140" s="327">
        <v>0</v>
      </c>
      <c r="P140" s="327">
        <v>0</v>
      </c>
      <c r="Q140" s="273">
        <v>5663233</v>
      </c>
      <c r="R140" s="327">
        <v>0</v>
      </c>
      <c r="S140" s="327">
        <v>0</v>
      </c>
      <c r="T140" s="275">
        <v>23931605</v>
      </c>
      <c r="U140" s="327">
        <v>0</v>
      </c>
      <c r="V140" s="327">
        <v>4755841</v>
      </c>
      <c r="W140" s="344">
        <v>542102</v>
      </c>
    </row>
    <row r="141" spans="1:23" ht="18">
      <c r="A141" s="284"/>
      <c r="B141" s="301" t="s">
        <v>920</v>
      </c>
      <c r="C141" s="285"/>
      <c r="D141" s="286" t="s">
        <v>370</v>
      </c>
      <c r="E141" s="270">
        <f t="shared" si="7"/>
        <v>22539273</v>
      </c>
      <c r="F141" s="273">
        <v>0</v>
      </c>
      <c r="G141" s="273">
        <v>0</v>
      </c>
      <c r="H141" s="273">
        <v>12539273</v>
      </c>
      <c r="I141" s="273">
        <v>0</v>
      </c>
      <c r="J141" s="273">
        <v>0</v>
      </c>
      <c r="K141" s="273">
        <v>10000000</v>
      </c>
      <c r="L141" s="273">
        <v>0</v>
      </c>
      <c r="M141" s="272">
        <v>0</v>
      </c>
      <c r="N141" s="328">
        <f t="shared" si="8"/>
        <v>22539273</v>
      </c>
      <c r="O141" s="327">
        <v>0</v>
      </c>
      <c r="P141" s="327">
        <v>0</v>
      </c>
      <c r="Q141" s="273">
        <v>12539273</v>
      </c>
      <c r="R141" s="327">
        <v>0</v>
      </c>
      <c r="S141" s="327">
        <v>0</v>
      </c>
      <c r="T141" s="275">
        <v>10000000</v>
      </c>
      <c r="U141" s="327">
        <v>0</v>
      </c>
      <c r="V141" s="327">
        <v>0</v>
      </c>
      <c r="W141" s="344">
        <v>542103</v>
      </c>
    </row>
    <row r="142" spans="1:23" ht="45" customHeight="1">
      <c r="A142" s="284"/>
      <c r="B142" s="301" t="s">
        <v>921</v>
      </c>
      <c r="C142" s="285"/>
      <c r="D142" s="286" t="s">
        <v>1001</v>
      </c>
      <c r="E142" s="270">
        <f t="shared" si="7"/>
        <v>2387600</v>
      </c>
      <c r="F142" s="273">
        <v>0</v>
      </c>
      <c r="G142" s="273">
        <v>0</v>
      </c>
      <c r="H142" s="273">
        <v>0</v>
      </c>
      <c r="I142" s="273">
        <v>0</v>
      </c>
      <c r="J142" s="273">
        <v>0</v>
      </c>
      <c r="K142" s="273">
        <v>0</v>
      </c>
      <c r="L142" s="273">
        <v>2387600</v>
      </c>
      <c r="M142" s="272">
        <v>0</v>
      </c>
      <c r="N142" s="328">
        <f t="shared" si="8"/>
        <v>2387600</v>
      </c>
      <c r="O142" s="327">
        <v>0</v>
      </c>
      <c r="P142" s="327">
        <v>0</v>
      </c>
      <c r="Q142" s="273"/>
      <c r="R142" s="327">
        <v>0</v>
      </c>
      <c r="S142" s="327">
        <v>0</v>
      </c>
      <c r="T142" s="327">
        <v>0</v>
      </c>
      <c r="U142" s="342">
        <v>2387600</v>
      </c>
      <c r="V142" s="327">
        <v>0</v>
      </c>
      <c r="W142" s="344">
        <v>542105</v>
      </c>
    </row>
    <row r="143" spans="1:23" ht="45" customHeight="1">
      <c r="A143" s="284"/>
      <c r="B143" s="301" t="s">
        <v>922</v>
      </c>
      <c r="C143" s="285"/>
      <c r="D143" s="291" t="s">
        <v>974</v>
      </c>
      <c r="E143" s="270">
        <f t="shared" si="7"/>
        <v>3365500</v>
      </c>
      <c r="F143" s="273">
        <v>0</v>
      </c>
      <c r="G143" s="273">
        <v>0</v>
      </c>
      <c r="H143" s="273">
        <v>0</v>
      </c>
      <c r="I143" s="273">
        <v>0</v>
      </c>
      <c r="J143" s="273">
        <v>0</v>
      </c>
      <c r="K143" s="273">
        <v>0</v>
      </c>
      <c r="L143" s="273">
        <v>3365500</v>
      </c>
      <c r="M143" s="272">
        <v>0</v>
      </c>
      <c r="N143" s="328">
        <f t="shared" si="8"/>
        <v>3365500</v>
      </c>
      <c r="O143" s="327">
        <v>0</v>
      </c>
      <c r="P143" s="327">
        <v>0</v>
      </c>
      <c r="Q143" s="273"/>
      <c r="R143" s="327">
        <v>0</v>
      </c>
      <c r="S143" s="327">
        <v>0</v>
      </c>
      <c r="T143" s="327">
        <v>0</v>
      </c>
      <c r="U143" s="342">
        <v>3365500</v>
      </c>
      <c r="V143" s="327">
        <v>0</v>
      </c>
      <c r="W143" s="344">
        <v>542108</v>
      </c>
    </row>
    <row r="144" spans="1:23" ht="18">
      <c r="A144" s="284"/>
      <c r="B144" s="301" t="s">
        <v>923</v>
      </c>
      <c r="C144" s="285"/>
      <c r="D144" s="286" t="s">
        <v>1414</v>
      </c>
      <c r="E144" s="270">
        <f t="shared" si="7"/>
        <v>7494204</v>
      </c>
      <c r="F144" s="273">
        <v>0</v>
      </c>
      <c r="G144" s="273">
        <v>0</v>
      </c>
      <c r="H144" s="273">
        <v>7494204</v>
      </c>
      <c r="I144" s="273">
        <v>0</v>
      </c>
      <c r="J144" s="273">
        <v>0</v>
      </c>
      <c r="K144" s="273">
        <v>0</v>
      </c>
      <c r="L144" s="273">
        <v>0</v>
      </c>
      <c r="M144" s="272">
        <v>0</v>
      </c>
      <c r="N144" s="328">
        <f t="shared" si="8"/>
        <v>8037195</v>
      </c>
      <c r="O144" s="327">
        <v>0</v>
      </c>
      <c r="P144" s="327">
        <v>0</v>
      </c>
      <c r="Q144" s="273">
        <v>6329045</v>
      </c>
      <c r="R144" s="327">
        <v>0</v>
      </c>
      <c r="S144" s="327">
        <v>0</v>
      </c>
      <c r="T144" s="275">
        <v>1708150</v>
      </c>
      <c r="U144" s="327">
        <v>0</v>
      </c>
      <c r="V144" s="327">
        <v>0</v>
      </c>
      <c r="W144" s="344">
        <v>542111</v>
      </c>
    </row>
    <row r="145" spans="1:23" ht="45" customHeight="1">
      <c r="A145" s="284"/>
      <c r="B145" s="301" t="s">
        <v>924</v>
      </c>
      <c r="C145" s="285"/>
      <c r="D145" s="286" t="s">
        <v>1415</v>
      </c>
      <c r="E145" s="270">
        <f t="shared" si="7"/>
        <v>8364361</v>
      </c>
      <c r="F145" s="273">
        <v>0</v>
      </c>
      <c r="G145" s="273">
        <v>0</v>
      </c>
      <c r="H145" s="273">
        <v>8364361</v>
      </c>
      <c r="I145" s="273">
        <v>0</v>
      </c>
      <c r="J145" s="273">
        <v>0</v>
      </c>
      <c r="K145" s="273">
        <v>0</v>
      </c>
      <c r="L145" s="273">
        <v>0</v>
      </c>
      <c r="M145" s="272">
        <v>0</v>
      </c>
      <c r="N145" s="328">
        <f t="shared" si="8"/>
        <v>8430133</v>
      </c>
      <c r="O145" s="327">
        <v>0</v>
      </c>
      <c r="P145" s="327">
        <v>0</v>
      </c>
      <c r="Q145" s="273">
        <v>6535801</v>
      </c>
      <c r="R145" s="327">
        <v>0</v>
      </c>
      <c r="S145" s="327">
        <v>0</v>
      </c>
      <c r="T145" s="275">
        <v>1894332</v>
      </c>
      <c r="U145" s="327">
        <v>0</v>
      </c>
      <c r="V145" s="327">
        <v>0</v>
      </c>
      <c r="W145" s="344">
        <v>542112</v>
      </c>
    </row>
    <row r="146" spans="1:23" ht="45" customHeight="1">
      <c r="A146" s="284"/>
      <c r="B146" s="301" t="s">
        <v>925</v>
      </c>
      <c r="C146" s="285"/>
      <c r="D146" s="286" t="s">
        <v>696</v>
      </c>
      <c r="E146" s="270">
        <f t="shared" si="7"/>
        <v>8000000</v>
      </c>
      <c r="F146" s="273">
        <v>0</v>
      </c>
      <c r="G146" s="273">
        <v>0</v>
      </c>
      <c r="H146" s="273">
        <v>0</v>
      </c>
      <c r="I146" s="273">
        <v>0</v>
      </c>
      <c r="J146" s="273">
        <v>0</v>
      </c>
      <c r="K146" s="273">
        <v>8000000</v>
      </c>
      <c r="L146" s="273">
        <v>0</v>
      </c>
      <c r="M146" s="272">
        <v>0</v>
      </c>
      <c r="N146" s="328">
        <f t="shared" si="8"/>
        <v>10000000</v>
      </c>
      <c r="O146" s="327">
        <v>0</v>
      </c>
      <c r="P146" s="327">
        <v>0</v>
      </c>
      <c r="Q146" s="327">
        <v>0</v>
      </c>
      <c r="R146" s="327">
        <v>0</v>
      </c>
      <c r="S146" s="327">
        <v>0</v>
      </c>
      <c r="T146" s="275">
        <v>9956742</v>
      </c>
      <c r="U146" s="342">
        <v>43258</v>
      </c>
      <c r="V146" s="327">
        <v>0</v>
      </c>
      <c r="W146" s="344">
        <v>542114</v>
      </c>
    </row>
    <row r="147" spans="1:23" ht="18">
      <c r="A147" s="284"/>
      <c r="B147" s="301" t="s">
        <v>926</v>
      </c>
      <c r="C147" s="285"/>
      <c r="D147" s="286" t="s">
        <v>751</v>
      </c>
      <c r="E147" s="270">
        <f t="shared" si="7"/>
        <v>13000000</v>
      </c>
      <c r="F147" s="273">
        <v>0</v>
      </c>
      <c r="G147" s="273">
        <v>0</v>
      </c>
      <c r="H147" s="273">
        <v>0</v>
      </c>
      <c r="I147" s="273">
        <v>0</v>
      </c>
      <c r="J147" s="273">
        <v>0</v>
      </c>
      <c r="K147" s="273">
        <v>13000000</v>
      </c>
      <c r="L147" s="273">
        <v>0</v>
      </c>
      <c r="M147" s="272">
        <v>0</v>
      </c>
      <c r="N147" s="328">
        <f t="shared" si="8"/>
        <v>0</v>
      </c>
      <c r="O147" s="327">
        <v>0</v>
      </c>
      <c r="P147" s="327">
        <v>0</v>
      </c>
      <c r="Q147" s="327">
        <v>0</v>
      </c>
      <c r="R147" s="327">
        <v>0</v>
      </c>
      <c r="S147" s="327">
        <v>0</v>
      </c>
      <c r="T147" s="275"/>
      <c r="U147" s="342"/>
      <c r="V147" s="327">
        <v>0</v>
      </c>
      <c r="W147" s="344">
        <v>542115</v>
      </c>
    </row>
    <row r="148" spans="1:23" ht="18">
      <c r="A148" s="284"/>
      <c r="B148" s="301" t="s">
        <v>927</v>
      </c>
      <c r="C148" s="285"/>
      <c r="D148" s="286" t="s">
        <v>752</v>
      </c>
      <c r="E148" s="270">
        <f t="shared" si="7"/>
        <v>52828299</v>
      </c>
      <c r="F148" s="273">
        <v>0</v>
      </c>
      <c r="G148" s="273">
        <v>0</v>
      </c>
      <c r="H148" s="273">
        <v>0</v>
      </c>
      <c r="I148" s="273">
        <v>0</v>
      </c>
      <c r="J148" s="273">
        <v>0</v>
      </c>
      <c r="K148" s="273">
        <v>6000000</v>
      </c>
      <c r="L148" s="273">
        <v>46828299</v>
      </c>
      <c r="M148" s="275">
        <v>0</v>
      </c>
      <c r="N148" s="328">
        <f t="shared" si="8"/>
        <v>51600463</v>
      </c>
      <c r="O148" s="327">
        <v>0</v>
      </c>
      <c r="P148" s="327">
        <v>0</v>
      </c>
      <c r="Q148" s="327">
        <v>0</v>
      </c>
      <c r="R148" s="327">
        <v>0</v>
      </c>
      <c r="S148" s="327">
        <v>0</v>
      </c>
      <c r="T148" s="275">
        <v>1570963</v>
      </c>
      <c r="U148" s="342">
        <v>50029500</v>
      </c>
      <c r="V148" s="327">
        <v>0</v>
      </c>
      <c r="W148" s="344">
        <v>542117</v>
      </c>
    </row>
    <row r="149" spans="1:23" ht="45" customHeight="1">
      <c r="A149" s="284"/>
      <c r="B149" s="301" t="s">
        <v>928</v>
      </c>
      <c r="C149" s="285"/>
      <c r="D149" s="286" t="s">
        <v>1007</v>
      </c>
      <c r="E149" s="270">
        <f t="shared" si="7"/>
        <v>595906</v>
      </c>
      <c r="F149" s="273">
        <v>0</v>
      </c>
      <c r="G149" s="273">
        <v>0</v>
      </c>
      <c r="H149" s="273">
        <v>595906</v>
      </c>
      <c r="I149" s="273">
        <v>0</v>
      </c>
      <c r="J149" s="273">
        <v>0</v>
      </c>
      <c r="K149" s="273">
        <v>0</v>
      </c>
      <c r="L149" s="273">
        <v>0</v>
      </c>
      <c r="M149" s="275">
        <v>0</v>
      </c>
      <c r="N149" s="328">
        <f t="shared" si="8"/>
        <v>595906</v>
      </c>
      <c r="O149" s="327">
        <v>0</v>
      </c>
      <c r="P149" s="327">
        <v>0</v>
      </c>
      <c r="Q149" s="273">
        <v>595906</v>
      </c>
      <c r="R149" s="327">
        <v>0</v>
      </c>
      <c r="S149" s="327">
        <v>0</v>
      </c>
      <c r="T149" s="275"/>
      <c r="U149" s="327">
        <v>0</v>
      </c>
      <c r="V149" s="327">
        <v>0</v>
      </c>
      <c r="W149" s="344" t="s">
        <v>1079</v>
      </c>
    </row>
    <row r="150" spans="1:23" ht="18">
      <c r="A150" s="284"/>
      <c r="B150" s="301" t="s">
        <v>929</v>
      </c>
      <c r="C150" s="285"/>
      <c r="D150" s="286" t="s">
        <v>1416</v>
      </c>
      <c r="E150" s="270">
        <f t="shared" si="7"/>
        <v>21123696</v>
      </c>
      <c r="F150" s="273">
        <v>0</v>
      </c>
      <c r="G150" s="273">
        <v>0</v>
      </c>
      <c r="H150" s="273">
        <v>755650</v>
      </c>
      <c r="I150" s="273">
        <v>0</v>
      </c>
      <c r="J150" s="273">
        <v>0</v>
      </c>
      <c r="K150" s="273">
        <v>20368046</v>
      </c>
      <c r="L150" s="273">
        <v>0</v>
      </c>
      <c r="M150" s="275">
        <v>0</v>
      </c>
      <c r="N150" s="328">
        <f t="shared" si="8"/>
        <v>21123696</v>
      </c>
      <c r="O150" s="327">
        <v>0</v>
      </c>
      <c r="P150" s="327">
        <v>0</v>
      </c>
      <c r="Q150" s="273">
        <v>1666748</v>
      </c>
      <c r="R150" s="327">
        <v>0</v>
      </c>
      <c r="S150" s="327">
        <v>0</v>
      </c>
      <c r="T150" s="275">
        <v>5956948</v>
      </c>
      <c r="U150" s="327">
        <v>0</v>
      </c>
      <c r="V150" s="342">
        <v>13500000</v>
      </c>
      <c r="W150" s="344" t="s">
        <v>1080</v>
      </c>
    </row>
    <row r="151" spans="1:23" ht="18">
      <c r="A151" s="284"/>
      <c r="B151" s="301" t="s">
        <v>930</v>
      </c>
      <c r="C151" s="285"/>
      <c r="D151" s="286" t="s">
        <v>806</v>
      </c>
      <c r="E151" s="270">
        <f t="shared" si="7"/>
        <v>35000000</v>
      </c>
      <c r="F151" s="273">
        <v>0</v>
      </c>
      <c r="G151" s="273">
        <v>0</v>
      </c>
      <c r="H151" s="273">
        <v>0</v>
      </c>
      <c r="I151" s="273">
        <v>0</v>
      </c>
      <c r="J151" s="273">
        <v>0</v>
      </c>
      <c r="K151" s="273">
        <v>35000000</v>
      </c>
      <c r="L151" s="273">
        <v>0</v>
      </c>
      <c r="M151" s="275">
        <v>0</v>
      </c>
      <c r="N151" s="328">
        <f t="shared" si="8"/>
        <v>0</v>
      </c>
      <c r="O151" s="327">
        <v>0</v>
      </c>
      <c r="P151" s="327">
        <v>0</v>
      </c>
      <c r="Q151" s="273"/>
      <c r="R151" s="327">
        <v>0</v>
      </c>
      <c r="S151" s="327">
        <v>0</v>
      </c>
      <c r="T151" s="275"/>
      <c r="U151" s="327">
        <v>0</v>
      </c>
      <c r="V151" s="327">
        <v>0</v>
      </c>
      <c r="W151" s="344" t="s">
        <v>1081</v>
      </c>
    </row>
    <row r="152" spans="1:23" ht="45" customHeight="1">
      <c r="A152" s="284"/>
      <c r="B152" s="301" t="s">
        <v>931</v>
      </c>
      <c r="C152" s="285"/>
      <c r="D152" s="286" t="s">
        <v>946</v>
      </c>
      <c r="E152" s="270">
        <f t="shared" si="7"/>
        <v>39400412023</v>
      </c>
      <c r="F152" s="273">
        <v>0</v>
      </c>
      <c r="G152" s="273">
        <v>0</v>
      </c>
      <c r="H152" s="276">
        <v>13561514083</v>
      </c>
      <c r="I152" s="273">
        <v>0</v>
      </c>
      <c r="J152" s="273">
        <v>0</v>
      </c>
      <c r="K152" s="273">
        <v>25838897940</v>
      </c>
      <c r="L152" s="273">
        <v>0</v>
      </c>
      <c r="M152" s="275">
        <v>0</v>
      </c>
      <c r="N152" s="328">
        <f t="shared" si="8"/>
        <v>39955007984</v>
      </c>
      <c r="O152" s="327">
        <v>0</v>
      </c>
      <c r="P152" s="327">
        <v>0</v>
      </c>
      <c r="Q152" s="276">
        <v>17658311227</v>
      </c>
      <c r="R152" s="327">
        <v>0</v>
      </c>
      <c r="S152" s="273">
        <v>48183435</v>
      </c>
      <c r="T152" s="275">
        <v>22248513322</v>
      </c>
      <c r="U152" s="327">
        <v>0</v>
      </c>
      <c r="V152" s="327">
        <v>0</v>
      </c>
      <c r="W152" s="344" t="s">
        <v>1084</v>
      </c>
    </row>
    <row r="153" spans="1:23" ht="45" customHeight="1">
      <c r="A153" s="284"/>
      <c r="B153" s="301" t="s">
        <v>932</v>
      </c>
      <c r="C153" s="285"/>
      <c r="D153" s="291" t="s">
        <v>975</v>
      </c>
      <c r="E153" s="270">
        <f t="shared" si="7"/>
        <v>1500000</v>
      </c>
      <c r="F153" s="273">
        <v>0</v>
      </c>
      <c r="G153" s="273">
        <v>0</v>
      </c>
      <c r="H153" s="273">
        <v>0</v>
      </c>
      <c r="I153" s="273">
        <v>0</v>
      </c>
      <c r="J153" s="273">
        <v>0</v>
      </c>
      <c r="K153" s="273">
        <v>1500000</v>
      </c>
      <c r="L153" s="273">
        <v>0</v>
      </c>
      <c r="M153" s="275">
        <v>0</v>
      </c>
      <c r="N153" s="328">
        <f t="shared" si="8"/>
        <v>0</v>
      </c>
      <c r="O153" s="327">
        <v>0</v>
      </c>
      <c r="P153" s="327">
        <v>0</v>
      </c>
      <c r="Q153" s="327">
        <v>0</v>
      </c>
      <c r="R153" s="327">
        <v>0</v>
      </c>
      <c r="S153" s="327">
        <v>0</v>
      </c>
      <c r="T153" s="327">
        <v>0</v>
      </c>
      <c r="U153" s="327">
        <v>0</v>
      </c>
      <c r="V153" s="327">
        <v>0</v>
      </c>
      <c r="W153" s="344" t="s">
        <v>1249</v>
      </c>
    </row>
    <row r="154" spans="1:23" ht="45" customHeight="1">
      <c r="A154" s="284"/>
      <c r="B154" s="301" t="s">
        <v>933</v>
      </c>
      <c r="C154" s="285"/>
      <c r="D154" s="291" t="s">
        <v>1417</v>
      </c>
      <c r="E154" s="270">
        <f t="shared" si="7"/>
        <v>4000000</v>
      </c>
      <c r="F154" s="273">
        <v>0</v>
      </c>
      <c r="G154" s="273">
        <v>0</v>
      </c>
      <c r="H154" s="273">
        <v>0</v>
      </c>
      <c r="I154" s="273">
        <v>0</v>
      </c>
      <c r="J154" s="273">
        <v>0</v>
      </c>
      <c r="K154" s="273">
        <v>0</v>
      </c>
      <c r="L154" s="273">
        <v>4000000</v>
      </c>
      <c r="M154" s="275">
        <v>0</v>
      </c>
      <c r="N154" s="328">
        <f t="shared" si="8"/>
        <v>4000000</v>
      </c>
      <c r="O154" s="327">
        <v>0</v>
      </c>
      <c r="P154" s="327">
        <v>0</v>
      </c>
      <c r="Q154" s="327">
        <v>0</v>
      </c>
      <c r="R154" s="327">
        <v>0</v>
      </c>
      <c r="S154" s="327">
        <v>0</v>
      </c>
      <c r="T154" s="327">
        <v>0</v>
      </c>
      <c r="U154" s="342">
        <v>4000000</v>
      </c>
      <c r="V154" s="327">
        <v>0</v>
      </c>
      <c r="W154" s="344">
        <v>542145</v>
      </c>
    </row>
    <row r="155" spans="1:23" ht="45" customHeight="1">
      <c r="A155" s="284"/>
      <c r="B155" s="301" t="s">
        <v>934</v>
      </c>
      <c r="C155" s="285"/>
      <c r="D155" s="291" t="s">
        <v>1418</v>
      </c>
      <c r="E155" s="270">
        <f t="shared" si="7"/>
        <v>40000000</v>
      </c>
      <c r="F155" s="273">
        <v>0</v>
      </c>
      <c r="G155" s="273">
        <v>0</v>
      </c>
      <c r="H155" s="273">
        <v>0</v>
      </c>
      <c r="I155" s="273">
        <v>0</v>
      </c>
      <c r="J155" s="273">
        <v>0</v>
      </c>
      <c r="K155" s="273">
        <v>0</v>
      </c>
      <c r="L155" s="273">
        <v>40000000</v>
      </c>
      <c r="M155" s="275">
        <v>0</v>
      </c>
      <c r="N155" s="328">
        <f t="shared" si="8"/>
        <v>40000000</v>
      </c>
      <c r="O155" s="327">
        <v>0</v>
      </c>
      <c r="P155" s="327">
        <v>0</v>
      </c>
      <c r="Q155" s="327">
        <v>0</v>
      </c>
      <c r="R155" s="327">
        <v>0</v>
      </c>
      <c r="S155" s="327">
        <v>0</v>
      </c>
      <c r="T155" s="327">
        <v>0</v>
      </c>
      <c r="U155" s="342">
        <v>40000000</v>
      </c>
      <c r="V155" s="327">
        <v>0</v>
      </c>
      <c r="W155" s="344">
        <v>542146</v>
      </c>
    </row>
    <row r="156" spans="1:23" ht="45" customHeight="1">
      <c r="A156" s="284"/>
      <c r="B156" s="301" t="s">
        <v>935</v>
      </c>
      <c r="C156" s="285"/>
      <c r="D156" s="291" t="s">
        <v>1419</v>
      </c>
      <c r="E156" s="270">
        <f t="shared" si="7"/>
        <v>35000000</v>
      </c>
      <c r="F156" s="273">
        <v>0</v>
      </c>
      <c r="G156" s="273">
        <v>0</v>
      </c>
      <c r="H156" s="273">
        <v>0</v>
      </c>
      <c r="I156" s="273">
        <v>0</v>
      </c>
      <c r="J156" s="273">
        <v>0</v>
      </c>
      <c r="K156" s="273">
        <v>35000000</v>
      </c>
      <c r="L156" s="273">
        <v>0</v>
      </c>
      <c r="M156" s="275">
        <v>0</v>
      </c>
      <c r="N156" s="328">
        <f t="shared" si="8"/>
        <v>35085000</v>
      </c>
      <c r="O156" s="327">
        <v>0</v>
      </c>
      <c r="P156" s="327">
        <v>0</v>
      </c>
      <c r="Q156" s="327">
        <v>0</v>
      </c>
      <c r="R156" s="327">
        <v>0</v>
      </c>
      <c r="S156" s="327">
        <v>0</v>
      </c>
      <c r="T156" s="275">
        <v>35085000</v>
      </c>
      <c r="U156" s="327">
        <v>0</v>
      </c>
      <c r="V156" s="327">
        <v>0</v>
      </c>
      <c r="W156" s="344">
        <v>542147</v>
      </c>
    </row>
    <row r="157" spans="1:23" ht="45" customHeight="1">
      <c r="A157" s="284"/>
      <c r="B157" s="301" t="s">
        <v>936</v>
      </c>
      <c r="C157" s="285"/>
      <c r="D157" s="291" t="s">
        <v>1420</v>
      </c>
      <c r="E157" s="270">
        <f t="shared" si="7"/>
        <v>99500000</v>
      </c>
      <c r="F157" s="273">
        <v>0</v>
      </c>
      <c r="G157" s="273">
        <v>0</v>
      </c>
      <c r="H157" s="273">
        <v>0</v>
      </c>
      <c r="I157" s="273">
        <v>0</v>
      </c>
      <c r="J157" s="273">
        <v>0</v>
      </c>
      <c r="K157" s="273">
        <v>99500000</v>
      </c>
      <c r="L157" s="273">
        <v>0</v>
      </c>
      <c r="M157" s="275">
        <v>0</v>
      </c>
      <c r="N157" s="328">
        <f t="shared" si="8"/>
        <v>99500000</v>
      </c>
      <c r="O157" s="327">
        <v>0</v>
      </c>
      <c r="P157" s="327">
        <v>0</v>
      </c>
      <c r="Q157" s="273">
        <v>17490772</v>
      </c>
      <c r="R157" s="327">
        <v>0</v>
      </c>
      <c r="S157" s="327">
        <v>0</v>
      </c>
      <c r="T157" s="275">
        <v>82009228</v>
      </c>
      <c r="U157" s="327">
        <v>0</v>
      </c>
      <c r="V157" s="327">
        <v>0</v>
      </c>
      <c r="W157" s="344">
        <v>542148</v>
      </c>
    </row>
    <row r="158" spans="1:23" ht="45" customHeight="1">
      <c r="A158" s="284"/>
      <c r="B158" s="301" t="s">
        <v>937</v>
      </c>
      <c r="C158" s="285"/>
      <c r="D158" s="291" t="s">
        <v>1421</v>
      </c>
      <c r="E158" s="270">
        <f t="shared" si="7"/>
        <v>25000000</v>
      </c>
      <c r="F158" s="273">
        <v>0</v>
      </c>
      <c r="G158" s="273">
        <v>0</v>
      </c>
      <c r="H158" s="273">
        <v>0</v>
      </c>
      <c r="I158" s="273">
        <v>0</v>
      </c>
      <c r="J158" s="273">
        <v>0</v>
      </c>
      <c r="K158" s="273">
        <v>25000000</v>
      </c>
      <c r="L158" s="273">
        <v>0</v>
      </c>
      <c r="M158" s="275">
        <v>0</v>
      </c>
      <c r="N158" s="328">
        <f t="shared" si="8"/>
        <v>25000000</v>
      </c>
      <c r="O158" s="327">
        <v>0</v>
      </c>
      <c r="P158" s="327">
        <v>0</v>
      </c>
      <c r="Q158" s="273">
        <v>5314577</v>
      </c>
      <c r="R158" s="327">
        <v>0</v>
      </c>
      <c r="S158" s="327">
        <v>0</v>
      </c>
      <c r="T158" s="275">
        <v>19685423</v>
      </c>
      <c r="U158" s="327">
        <v>0</v>
      </c>
      <c r="V158" s="327">
        <v>0</v>
      </c>
      <c r="W158" s="344">
        <v>542149</v>
      </c>
    </row>
    <row r="159" spans="1:23" ht="45" customHeight="1">
      <c r="A159" s="284"/>
      <c r="B159" s="301" t="s">
        <v>938</v>
      </c>
      <c r="C159" s="285"/>
      <c r="D159" s="291" t="s">
        <v>1422</v>
      </c>
      <c r="E159" s="270">
        <f t="shared" si="7"/>
        <v>5000000</v>
      </c>
      <c r="F159" s="273">
        <v>0</v>
      </c>
      <c r="G159" s="273">
        <v>0</v>
      </c>
      <c r="H159" s="273">
        <v>0</v>
      </c>
      <c r="I159" s="273">
        <v>0</v>
      </c>
      <c r="J159" s="273">
        <v>0</v>
      </c>
      <c r="K159" s="273">
        <v>5000000</v>
      </c>
      <c r="L159" s="273">
        <v>0</v>
      </c>
      <c r="M159" s="275">
        <v>0</v>
      </c>
      <c r="N159" s="328">
        <f t="shared" si="8"/>
        <v>5000000</v>
      </c>
      <c r="O159" s="327">
        <v>0</v>
      </c>
      <c r="P159" s="327">
        <v>0</v>
      </c>
      <c r="Q159" s="327">
        <v>0</v>
      </c>
      <c r="R159" s="327">
        <v>0</v>
      </c>
      <c r="S159" s="327">
        <v>0</v>
      </c>
      <c r="T159" s="275">
        <v>5000000</v>
      </c>
      <c r="U159" s="327">
        <v>0</v>
      </c>
      <c r="V159" s="327">
        <v>0</v>
      </c>
      <c r="W159" s="344">
        <v>542150</v>
      </c>
    </row>
    <row r="160" spans="1:23" ht="45" customHeight="1">
      <c r="A160" s="284"/>
      <c r="B160" s="301" t="s">
        <v>939</v>
      </c>
      <c r="C160" s="285"/>
      <c r="D160" s="291" t="s">
        <v>1423</v>
      </c>
      <c r="E160" s="270">
        <f aca="true" t="shared" si="9" ref="E160:E167">SUM(F160:M160)</f>
        <v>20000000</v>
      </c>
      <c r="F160" s="273">
        <v>0</v>
      </c>
      <c r="G160" s="273">
        <v>0</v>
      </c>
      <c r="H160" s="273">
        <v>0</v>
      </c>
      <c r="I160" s="273">
        <v>0</v>
      </c>
      <c r="J160" s="273">
        <v>0</v>
      </c>
      <c r="K160" s="273">
        <v>20000000</v>
      </c>
      <c r="L160" s="273">
        <v>0</v>
      </c>
      <c r="M160" s="275">
        <v>0</v>
      </c>
      <c r="N160" s="328">
        <f t="shared" si="8"/>
        <v>20000000</v>
      </c>
      <c r="O160" s="327">
        <v>0</v>
      </c>
      <c r="P160" s="327">
        <v>0</v>
      </c>
      <c r="Q160" s="327">
        <v>0</v>
      </c>
      <c r="R160" s="327">
        <v>0</v>
      </c>
      <c r="S160" s="327">
        <v>0</v>
      </c>
      <c r="T160" s="327">
        <v>0</v>
      </c>
      <c r="U160" s="327">
        <v>0</v>
      </c>
      <c r="V160" s="342">
        <v>20000000</v>
      </c>
      <c r="W160" s="344">
        <v>542151</v>
      </c>
    </row>
    <row r="161" spans="1:23" ht="45" customHeight="1">
      <c r="A161" s="284"/>
      <c r="B161" s="301" t="s">
        <v>945</v>
      </c>
      <c r="C161" s="285"/>
      <c r="D161" s="291" t="s">
        <v>1455</v>
      </c>
      <c r="E161" s="270">
        <f t="shared" si="9"/>
        <v>0</v>
      </c>
      <c r="F161" s="273">
        <v>0</v>
      </c>
      <c r="G161" s="273">
        <v>0</v>
      </c>
      <c r="H161" s="273">
        <v>0</v>
      </c>
      <c r="I161" s="273">
        <v>0</v>
      </c>
      <c r="J161" s="273">
        <v>0</v>
      </c>
      <c r="K161" s="273">
        <v>0</v>
      </c>
      <c r="L161" s="273">
        <v>0</v>
      </c>
      <c r="M161" s="275">
        <v>0</v>
      </c>
      <c r="N161" s="328">
        <f t="shared" si="8"/>
        <v>0</v>
      </c>
      <c r="O161" s="327">
        <v>0</v>
      </c>
      <c r="P161" s="327">
        <v>0</v>
      </c>
      <c r="Q161" s="327">
        <v>0</v>
      </c>
      <c r="R161" s="327">
        <v>0</v>
      </c>
      <c r="S161" s="327">
        <v>0</v>
      </c>
      <c r="T161" s="327">
        <v>0</v>
      </c>
      <c r="U161" s="327">
        <v>0</v>
      </c>
      <c r="V161" s="327">
        <v>0</v>
      </c>
      <c r="W161" s="344">
        <v>542135</v>
      </c>
    </row>
    <row r="162" spans="1:23" ht="45" customHeight="1">
      <c r="A162" s="284"/>
      <c r="B162" s="301" t="s">
        <v>1471</v>
      </c>
      <c r="C162" s="285"/>
      <c r="D162" s="291" t="s">
        <v>1473</v>
      </c>
      <c r="E162" s="270">
        <f t="shared" si="9"/>
        <v>0</v>
      </c>
      <c r="F162" s="273">
        <v>0</v>
      </c>
      <c r="G162" s="273">
        <v>0</v>
      </c>
      <c r="H162" s="273">
        <v>0</v>
      </c>
      <c r="I162" s="273">
        <v>0</v>
      </c>
      <c r="J162" s="273">
        <v>0</v>
      </c>
      <c r="K162" s="273">
        <v>0</v>
      </c>
      <c r="L162" s="273">
        <v>0</v>
      </c>
      <c r="M162" s="275">
        <v>0</v>
      </c>
      <c r="N162" s="328">
        <f t="shared" si="8"/>
        <v>0</v>
      </c>
      <c r="O162" s="327">
        <v>0</v>
      </c>
      <c r="P162" s="327">
        <v>0</v>
      </c>
      <c r="Q162" s="327">
        <v>0</v>
      </c>
      <c r="R162" s="327">
        <v>0</v>
      </c>
      <c r="S162" s="327">
        <v>0</v>
      </c>
      <c r="T162" s="327">
        <v>0</v>
      </c>
      <c r="U162" s="327">
        <v>0</v>
      </c>
      <c r="V162" s="327">
        <v>0</v>
      </c>
      <c r="W162" s="344">
        <v>542153</v>
      </c>
    </row>
    <row r="163" spans="1:23" ht="45" customHeight="1">
      <c r="A163" s="284"/>
      <c r="B163" s="301" t="s">
        <v>1472</v>
      </c>
      <c r="C163" s="285"/>
      <c r="D163" s="291" t="s">
        <v>1474</v>
      </c>
      <c r="E163" s="270">
        <f t="shared" si="9"/>
        <v>0</v>
      </c>
      <c r="F163" s="273">
        <v>0</v>
      </c>
      <c r="G163" s="273">
        <v>0</v>
      </c>
      <c r="H163" s="273">
        <v>0</v>
      </c>
      <c r="I163" s="273">
        <v>0</v>
      </c>
      <c r="J163" s="273">
        <v>0</v>
      </c>
      <c r="K163" s="273">
        <v>0</v>
      </c>
      <c r="L163" s="273">
        <v>0</v>
      </c>
      <c r="M163" s="275">
        <v>0</v>
      </c>
      <c r="N163" s="328">
        <f t="shared" si="8"/>
        <v>0</v>
      </c>
      <c r="O163" s="327">
        <v>0</v>
      </c>
      <c r="P163" s="327">
        <v>0</v>
      </c>
      <c r="Q163" s="327">
        <v>0</v>
      </c>
      <c r="R163" s="327">
        <v>0</v>
      </c>
      <c r="S163" s="327">
        <v>0</v>
      </c>
      <c r="T163" s="327">
        <v>0</v>
      </c>
      <c r="U163" s="327">
        <v>0</v>
      </c>
      <c r="V163" s="327">
        <v>0</v>
      </c>
      <c r="W163" s="344">
        <v>542154</v>
      </c>
    </row>
    <row r="164" spans="1:23" ht="45" customHeight="1">
      <c r="A164" s="284"/>
      <c r="B164" s="301" t="s">
        <v>1504</v>
      </c>
      <c r="C164" s="285"/>
      <c r="D164" s="291" t="s">
        <v>1534</v>
      </c>
      <c r="E164" s="270">
        <f t="shared" si="9"/>
        <v>0</v>
      </c>
      <c r="F164" s="273">
        <v>0</v>
      </c>
      <c r="G164" s="273">
        <v>0</v>
      </c>
      <c r="H164" s="273">
        <v>0</v>
      </c>
      <c r="I164" s="273">
        <v>0</v>
      </c>
      <c r="J164" s="273">
        <v>0</v>
      </c>
      <c r="K164" s="273">
        <v>0</v>
      </c>
      <c r="L164" s="273">
        <v>0</v>
      </c>
      <c r="M164" s="275">
        <v>0</v>
      </c>
      <c r="N164" s="328">
        <f t="shared" si="8"/>
        <v>0</v>
      </c>
      <c r="O164" s="327">
        <v>0</v>
      </c>
      <c r="P164" s="327">
        <v>0</v>
      </c>
      <c r="Q164" s="327">
        <v>0</v>
      </c>
      <c r="R164" s="327">
        <v>0</v>
      </c>
      <c r="S164" s="327">
        <v>0</v>
      </c>
      <c r="T164" s="327">
        <v>0</v>
      </c>
      <c r="U164" s="327">
        <v>0</v>
      </c>
      <c r="V164" s="327">
        <v>0</v>
      </c>
      <c r="W164" s="344">
        <v>542155</v>
      </c>
    </row>
    <row r="165" spans="1:23" ht="45" customHeight="1">
      <c r="A165" s="284"/>
      <c r="B165" s="301" t="s">
        <v>1535</v>
      </c>
      <c r="C165" s="285"/>
      <c r="D165" s="291" t="s">
        <v>1536</v>
      </c>
      <c r="E165" s="270">
        <f t="shared" si="9"/>
        <v>0</v>
      </c>
      <c r="F165" s="273">
        <v>0</v>
      </c>
      <c r="G165" s="273">
        <v>0</v>
      </c>
      <c r="H165" s="273">
        <v>0</v>
      </c>
      <c r="I165" s="273">
        <v>0</v>
      </c>
      <c r="J165" s="273">
        <v>0</v>
      </c>
      <c r="K165" s="273">
        <v>0</v>
      </c>
      <c r="L165" s="273">
        <v>0</v>
      </c>
      <c r="M165" s="275">
        <v>0</v>
      </c>
      <c r="N165" s="328">
        <f t="shared" si="8"/>
        <v>0</v>
      </c>
      <c r="O165" s="273">
        <v>0</v>
      </c>
      <c r="P165" s="273">
        <v>0</v>
      </c>
      <c r="Q165" s="273">
        <v>0</v>
      </c>
      <c r="R165" s="273">
        <v>0</v>
      </c>
      <c r="S165" s="273">
        <v>0</v>
      </c>
      <c r="T165" s="273">
        <v>0</v>
      </c>
      <c r="U165" s="273">
        <v>0</v>
      </c>
      <c r="V165" s="275">
        <v>0</v>
      </c>
      <c r="W165" s="344">
        <v>542156</v>
      </c>
    </row>
    <row r="166" spans="1:23" ht="18">
      <c r="A166" s="279" t="s">
        <v>63</v>
      </c>
      <c r="B166" s="292"/>
      <c r="C166" s="292"/>
      <c r="D166" s="293" t="s">
        <v>43</v>
      </c>
      <c r="E166" s="270">
        <f t="shared" si="9"/>
        <v>0</v>
      </c>
      <c r="F166" s="277">
        <v>0</v>
      </c>
      <c r="G166" s="277">
        <v>0</v>
      </c>
      <c r="H166" s="277">
        <v>0</v>
      </c>
      <c r="I166" s="277">
        <v>0</v>
      </c>
      <c r="J166" s="277">
        <v>0</v>
      </c>
      <c r="K166" s="277">
        <v>0</v>
      </c>
      <c r="L166" s="278">
        <v>0</v>
      </c>
      <c r="M166" s="323">
        <v>0</v>
      </c>
      <c r="N166" s="341">
        <v>0</v>
      </c>
      <c r="O166" s="341">
        <v>0</v>
      </c>
      <c r="P166" s="323">
        <v>0</v>
      </c>
      <c r="Q166" s="323">
        <v>0</v>
      </c>
      <c r="R166" s="323">
        <v>0</v>
      </c>
      <c r="S166" s="323">
        <v>0</v>
      </c>
      <c r="T166" s="323">
        <v>0</v>
      </c>
      <c r="U166" s="341">
        <v>0</v>
      </c>
      <c r="V166" s="343">
        <v>0</v>
      </c>
      <c r="W166" s="222"/>
    </row>
    <row r="167" spans="1:23" ht="18">
      <c r="A167" s="470" t="s">
        <v>286</v>
      </c>
      <c r="B167" s="471"/>
      <c r="C167" s="471"/>
      <c r="D167" s="471"/>
      <c r="E167" s="268">
        <f t="shared" si="9"/>
        <v>78252295064</v>
      </c>
      <c r="F167" s="269">
        <f aca="true" t="shared" si="10" ref="F167:L167">F166+F11+F10</f>
        <v>4445000</v>
      </c>
      <c r="G167" s="269">
        <f t="shared" si="10"/>
        <v>777880</v>
      </c>
      <c r="H167" s="269">
        <f t="shared" si="10"/>
        <v>16364576699</v>
      </c>
      <c r="I167" s="269">
        <f t="shared" si="10"/>
        <v>0</v>
      </c>
      <c r="J167" s="269">
        <f t="shared" si="10"/>
        <v>1177506</v>
      </c>
      <c r="K167" s="269">
        <f t="shared" si="10"/>
        <v>57412971124</v>
      </c>
      <c r="L167" s="269">
        <f t="shared" si="10"/>
        <v>4458522981</v>
      </c>
      <c r="M167" s="322">
        <f>M166+M11+M10</f>
        <v>9823874</v>
      </c>
      <c r="N167" s="322">
        <f aca="true" t="shared" si="11" ref="N167:V167">N166+N11+N10</f>
        <v>82088840551</v>
      </c>
      <c r="O167" s="322">
        <f t="shared" si="11"/>
        <v>8997500</v>
      </c>
      <c r="P167" s="322">
        <f t="shared" si="11"/>
        <v>1492018</v>
      </c>
      <c r="Q167" s="322">
        <f t="shared" si="11"/>
        <v>21735138409</v>
      </c>
      <c r="R167" s="322">
        <f t="shared" si="11"/>
        <v>0</v>
      </c>
      <c r="S167" s="322">
        <f t="shared" si="11"/>
        <v>62741354</v>
      </c>
      <c r="T167" s="322">
        <f t="shared" si="11"/>
        <v>54997491116</v>
      </c>
      <c r="U167" s="322">
        <f t="shared" si="11"/>
        <v>4367070988</v>
      </c>
      <c r="V167" s="328">
        <f t="shared" si="11"/>
        <v>915909166</v>
      </c>
      <c r="W167" s="222"/>
    </row>
  </sheetData>
  <sheetProtection selectLockedCells="1" selectUnlockedCells="1"/>
  <mergeCells count="41">
    <mergeCell ref="A1:W1"/>
    <mergeCell ref="A3:W3"/>
    <mergeCell ref="A4:W4"/>
    <mergeCell ref="E7:E9"/>
    <mergeCell ref="T8:V8"/>
    <mergeCell ref="B64:D64"/>
    <mergeCell ref="A2:W2"/>
    <mergeCell ref="B12:D12"/>
    <mergeCell ref="C7:C9"/>
    <mergeCell ref="B40:D40"/>
    <mergeCell ref="W7:W11"/>
    <mergeCell ref="B96:D96"/>
    <mergeCell ref="O7:V7"/>
    <mergeCell ref="B76:D76"/>
    <mergeCell ref="O8:S8"/>
    <mergeCell ref="B104:D104"/>
    <mergeCell ref="B98:D98"/>
    <mergeCell ref="B52:D52"/>
    <mergeCell ref="K8:M8"/>
    <mergeCell ref="B62:D62"/>
    <mergeCell ref="A7:A9"/>
    <mergeCell ref="B58:D58"/>
    <mergeCell ref="B132:D132"/>
    <mergeCell ref="B109:D109"/>
    <mergeCell ref="B7:B9"/>
    <mergeCell ref="B16:D16"/>
    <mergeCell ref="B126:D126"/>
    <mergeCell ref="B45:D45"/>
    <mergeCell ref="F7:M7"/>
    <mergeCell ref="B34:D34"/>
    <mergeCell ref="F8:J8"/>
    <mergeCell ref="D7:D9"/>
    <mergeCell ref="B14:D14"/>
    <mergeCell ref="N7:N9"/>
    <mergeCell ref="A167:D167"/>
    <mergeCell ref="B24:D24"/>
    <mergeCell ref="B88:D88"/>
    <mergeCell ref="B106:D106"/>
    <mergeCell ref="B18:D18"/>
    <mergeCell ref="B114:D114"/>
    <mergeCell ref="B92:D92"/>
  </mergeCells>
  <printOptions horizontalCentered="1"/>
  <pageMargins left="0.4330708661417323" right="0.4330708661417323" top="0.5511811023622047" bottom="0.5511811023622047" header="0.5118110236220472" footer="0.5118110236220472"/>
  <pageSetup horizontalDpi="600" verticalDpi="600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0"/>
  <sheetViews>
    <sheetView view="pageBreakPreview" zoomScale="70" zoomScaleNormal="74" zoomScaleSheetLayoutView="70" zoomScalePageLayoutView="0" workbookViewId="0" topLeftCell="A1">
      <selection activeCell="A1" sqref="A1:V1"/>
    </sheetView>
  </sheetViews>
  <sheetFormatPr defaultColWidth="9.140625" defaultRowHeight="18" customHeight="1"/>
  <cols>
    <col min="1" max="1" width="7.00390625" style="55" customWidth="1"/>
    <col min="2" max="2" width="10.7109375" style="55" customWidth="1"/>
    <col min="3" max="3" width="33.57421875" style="55" customWidth="1"/>
    <col min="4" max="4" width="18.7109375" style="55" customWidth="1"/>
    <col min="5" max="5" width="14.57421875" style="55" customWidth="1"/>
    <col min="6" max="6" width="17.8515625" style="55" customWidth="1"/>
    <col min="7" max="7" width="16.7109375" style="55" customWidth="1"/>
    <col min="8" max="8" width="20.00390625" style="55" customWidth="1"/>
    <col min="9" max="9" width="14.57421875" style="55" customWidth="1"/>
    <col min="10" max="10" width="16.7109375" style="55" customWidth="1"/>
    <col min="11" max="11" width="19.140625" style="55" customWidth="1"/>
    <col min="12" max="12" width="17.8515625" style="55" customWidth="1"/>
    <col min="13" max="13" width="21.57421875" style="55" customWidth="1"/>
    <col min="14" max="21" width="17.8515625" style="55" customWidth="1"/>
    <col min="22" max="22" width="21.8515625" style="55" customWidth="1"/>
    <col min="23" max="16384" width="9.140625" style="55" customWidth="1"/>
  </cols>
  <sheetData>
    <row r="1" spans="1:22" ht="15.75" customHeight="1">
      <c r="A1" s="431" t="s">
        <v>1541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</row>
    <row r="2" spans="1:22" ht="15.75" customHeight="1">
      <c r="A2" s="416" t="s">
        <v>1514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</row>
    <row r="3" spans="1:22" ht="18" customHeight="1">
      <c r="A3" s="496" t="s">
        <v>65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</row>
    <row r="4" spans="1:22" ht="18" customHeight="1">
      <c r="A4" s="497" t="s">
        <v>371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</row>
    <row r="5" spans="1:21" ht="12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spans="1:22" ht="12.75" customHeight="1">
      <c r="A6" s="141" t="s">
        <v>1</v>
      </c>
      <c r="B6" s="141" t="s">
        <v>2</v>
      </c>
      <c r="C6" s="141" t="s">
        <v>3</v>
      </c>
      <c r="D6" s="141" t="s">
        <v>4</v>
      </c>
      <c r="E6" s="141" t="s">
        <v>5</v>
      </c>
      <c r="F6" s="141" t="s">
        <v>6</v>
      </c>
      <c r="G6" s="141" t="s">
        <v>7</v>
      </c>
      <c r="H6" s="141" t="s">
        <v>8</v>
      </c>
      <c r="I6" s="141" t="s">
        <v>9</v>
      </c>
      <c r="J6" s="142" t="s">
        <v>10</v>
      </c>
      <c r="K6" s="141" t="s">
        <v>11</v>
      </c>
      <c r="L6" s="143" t="s">
        <v>12</v>
      </c>
      <c r="M6" s="334" t="s">
        <v>13</v>
      </c>
      <c r="N6" s="335" t="s">
        <v>14</v>
      </c>
      <c r="O6" s="335" t="s">
        <v>15</v>
      </c>
      <c r="P6" s="335" t="s">
        <v>16</v>
      </c>
      <c r="Q6" s="335" t="s">
        <v>17</v>
      </c>
      <c r="R6" s="335" t="s">
        <v>18</v>
      </c>
      <c r="S6" s="336" t="s">
        <v>19</v>
      </c>
      <c r="T6" s="335" t="s">
        <v>20</v>
      </c>
      <c r="U6" s="336" t="s">
        <v>21</v>
      </c>
      <c r="V6" s="127" t="s">
        <v>179</v>
      </c>
    </row>
    <row r="7" spans="1:22" ht="12.75" customHeight="1">
      <c r="A7" s="413" t="s">
        <v>23</v>
      </c>
      <c r="B7" s="413" t="s">
        <v>183</v>
      </c>
      <c r="C7" s="406" t="s">
        <v>24</v>
      </c>
      <c r="D7" s="406" t="s">
        <v>1262</v>
      </c>
      <c r="E7" s="455" t="s">
        <v>25</v>
      </c>
      <c r="F7" s="455"/>
      <c r="G7" s="455"/>
      <c r="H7" s="455"/>
      <c r="I7" s="455"/>
      <c r="J7" s="455"/>
      <c r="K7" s="455"/>
      <c r="L7" s="456"/>
      <c r="M7" s="462" t="s">
        <v>1467</v>
      </c>
      <c r="N7" s="462" t="s">
        <v>1466</v>
      </c>
      <c r="O7" s="462"/>
      <c r="P7" s="462"/>
      <c r="Q7" s="462"/>
      <c r="R7" s="462"/>
      <c r="S7" s="462"/>
      <c r="T7" s="462"/>
      <c r="U7" s="462"/>
      <c r="V7" s="495" t="s">
        <v>1012</v>
      </c>
    </row>
    <row r="8" spans="1:22" ht="12.75" customHeight="1">
      <c r="A8" s="413"/>
      <c r="B8" s="413"/>
      <c r="C8" s="406"/>
      <c r="D8" s="406"/>
      <c r="E8" s="405" t="s">
        <v>26</v>
      </c>
      <c r="F8" s="405"/>
      <c r="G8" s="405"/>
      <c r="H8" s="405"/>
      <c r="I8" s="405"/>
      <c r="J8" s="405" t="s">
        <v>27</v>
      </c>
      <c r="K8" s="405"/>
      <c r="L8" s="457"/>
      <c r="M8" s="462"/>
      <c r="N8" s="464" t="s">
        <v>26</v>
      </c>
      <c r="O8" s="464"/>
      <c r="P8" s="464"/>
      <c r="Q8" s="464"/>
      <c r="R8" s="464"/>
      <c r="S8" s="464" t="s">
        <v>27</v>
      </c>
      <c r="T8" s="464"/>
      <c r="U8" s="464"/>
      <c r="V8" s="495"/>
    </row>
    <row r="9" spans="1:22" ht="76.5" customHeight="1">
      <c r="A9" s="413"/>
      <c r="B9" s="413"/>
      <c r="C9" s="406"/>
      <c r="D9" s="406"/>
      <c r="E9" s="5" t="s">
        <v>28</v>
      </c>
      <c r="F9" s="5" t="s">
        <v>29</v>
      </c>
      <c r="G9" s="5" t="s">
        <v>30</v>
      </c>
      <c r="H9" s="5" t="s">
        <v>31</v>
      </c>
      <c r="I9" s="5" t="s">
        <v>32</v>
      </c>
      <c r="J9" s="5" t="s">
        <v>33</v>
      </c>
      <c r="K9" s="5" t="s">
        <v>34</v>
      </c>
      <c r="L9" s="114" t="s">
        <v>35</v>
      </c>
      <c r="M9" s="462"/>
      <c r="N9" s="97" t="s">
        <v>28</v>
      </c>
      <c r="O9" s="97" t="s">
        <v>29</v>
      </c>
      <c r="P9" s="97" t="s">
        <v>30</v>
      </c>
      <c r="Q9" s="97" t="s">
        <v>31</v>
      </c>
      <c r="R9" s="97" t="s">
        <v>32</v>
      </c>
      <c r="S9" s="97" t="s">
        <v>33</v>
      </c>
      <c r="T9" s="97" t="s">
        <v>34</v>
      </c>
      <c r="U9" s="97" t="s">
        <v>35</v>
      </c>
      <c r="V9" s="495"/>
    </row>
    <row r="10" spans="1:22" ht="20.25" customHeight="1">
      <c r="A10" s="56" t="s">
        <v>66</v>
      </c>
      <c r="B10" s="6"/>
      <c r="C10" s="57" t="s">
        <v>39</v>
      </c>
      <c r="D10" s="10">
        <f>SUM(E10:L10)</f>
        <v>436770951</v>
      </c>
      <c r="E10" s="58">
        <f aca="true" t="shared" si="0" ref="E10:L10">SUM(E11:E17)</f>
        <v>0</v>
      </c>
      <c r="F10" s="58">
        <f t="shared" si="0"/>
        <v>0</v>
      </c>
      <c r="G10" s="58">
        <f>SUM(G11:G17)</f>
        <v>110000000</v>
      </c>
      <c r="H10" s="58">
        <f t="shared" si="0"/>
        <v>0</v>
      </c>
      <c r="I10" s="58">
        <f t="shared" si="0"/>
        <v>0</v>
      </c>
      <c r="J10" s="58">
        <f t="shared" si="0"/>
        <v>0</v>
      </c>
      <c r="K10" s="58">
        <f t="shared" si="0"/>
        <v>326770951</v>
      </c>
      <c r="L10" s="64">
        <f t="shared" si="0"/>
        <v>0</v>
      </c>
      <c r="M10" s="107">
        <f>SUM(N10:U10)</f>
        <v>489156349</v>
      </c>
      <c r="N10" s="107">
        <f>SUM(N11:N17)</f>
        <v>0</v>
      </c>
      <c r="O10" s="107">
        <f aca="true" t="shared" si="1" ref="O10:U10">SUM(O11:O17)</f>
        <v>0</v>
      </c>
      <c r="P10" s="107">
        <f t="shared" si="1"/>
        <v>113000000</v>
      </c>
      <c r="Q10" s="107">
        <f t="shared" si="1"/>
        <v>0</v>
      </c>
      <c r="R10" s="107">
        <f t="shared" si="1"/>
        <v>0</v>
      </c>
      <c r="S10" s="107">
        <f t="shared" si="1"/>
        <v>0</v>
      </c>
      <c r="T10" s="107">
        <f t="shared" si="1"/>
        <v>376156349</v>
      </c>
      <c r="U10" s="107">
        <f t="shared" si="1"/>
        <v>0</v>
      </c>
      <c r="V10" s="495"/>
    </row>
    <row r="11" spans="1:22" ht="58.5" customHeight="1">
      <c r="A11" s="6"/>
      <c r="B11" s="6" t="s">
        <v>372</v>
      </c>
      <c r="C11" s="9" t="s">
        <v>373</v>
      </c>
      <c r="D11" s="52">
        <f aca="true" t="shared" si="2" ref="D11:D20">SUM(E11:L11)</f>
        <v>60000000</v>
      </c>
      <c r="E11" s="53">
        <v>0</v>
      </c>
      <c r="F11" s="53">
        <v>0</v>
      </c>
      <c r="G11" s="53">
        <v>60000000</v>
      </c>
      <c r="H11" s="53">
        <v>0</v>
      </c>
      <c r="I11" s="53">
        <v>0</v>
      </c>
      <c r="J11" s="53">
        <v>0</v>
      </c>
      <c r="K11" s="53">
        <v>0</v>
      </c>
      <c r="L11" s="115">
        <v>0</v>
      </c>
      <c r="M11" s="107">
        <f aca="true" t="shared" si="3" ref="M11:M19">SUM(N11:U11)</f>
        <v>60000000</v>
      </c>
      <c r="N11" s="53">
        <v>0</v>
      </c>
      <c r="O11" s="53">
        <v>0</v>
      </c>
      <c r="P11" s="53">
        <v>60000000</v>
      </c>
      <c r="Q11" s="53">
        <v>0</v>
      </c>
      <c r="R11" s="53">
        <v>0</v>
      </c>
      <c r="S11" s="53">
        <v>0</v>
      </c>
      <c r="T11" s="53">
        <v>0</v>
      </c>
      <c r="U11" s="115">
        <v>0</v>
      </c>
      <c r="V11" s="128" t="s">
        <v>1085</v>
      </c>
    </row>
    <row r="12" spans="1:22" ht="30" customHeight="1">
      <c r="A12" s="6"/>
      <c r="B12" s="6" t="s">
        <v>374</v>
      </c>
      <c r="C12" s="9" t="s">
        <v>375</v>
      </c>
      <c r="D12" s="52">
        <f t="shared" si="2"/>
        <v>5000000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5000000</v>
      </c>
      <c r="L12" s="115">
        <v>0</v>
      </c>
      <c r="M12" s="107">
        <f t="shared" si="3"/>
        <v>5000000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5000000</v>
      </c>
      <c r="U12" s="115">
        <v>0</v>
      </c>
      <c r="V12" s="128" t="s">
        <v>1086</v>
      </c>
    </row>
    <row r="13" spans="1:22" ht="45" customHeight="1">
      <c r="A13" s="6"/>
      <c r="B13" s="6" t="s">
        <v>376</v>
      </c>
      <c r="C13" s="9" t="s">
        <v>377</v>
      </c>
      <c r="D13" s="52">
        <f t="shared" si="2"/>
        <v>20000000</v>
      </c>
      <c r="E13" s="53">
        <v>0</v>
      </c>
      <c r="F13" s="53">
        <v>0</v>
      </c>
      <c r="G13" s="53">
        <v>20000000</v>
      </c>
      <c r="H13" s="53">
        <v>0</v>
      </c>
      <c r="I13" s="53">
        <v>0</v>
      </c>
      <c r="J13" s="53">
        <v>0</v>
      </c>
      <c r="K13" s="53">
        <v>0</v>
      </c>
      <c r="L13" s="115">
        <v>0</v>
      </c>
      <c r="M13" s="107">
        <f t="shared" si="3"/>
        <v>20000000</v>
      </c>
      <c r="N13" s="53">
        <v>0</v>
      </c>
      <c r="O13" s="53">
        <v>0</v>
      </c>
      <c r="P13" s="53">
        <v>20000000</v>
      </c>
      <c r="Q13" s="53">
        <v>0</v>
      </c>
      <c r="R13" s="53">
        <v>0</v>
      </c>
      <c r="S13" s="53">
        <v>0</v>
      </c>
      <c r="T13" s="53">
        <v>0</v>
      </c>
      <c r="U13" s="115">
        <v>0</v>
      </c>
      <c r="V13" s="128" t="s">
        <v>1087</v>
      </c>
    </row>
    <row r="14" spans="1:22" ht="30" customHeight="1">
      <c r="A14" s="6"/>
      <c r="B14" s="6" t="s">
        <v>378</v>
      </c>
      <c r="C14" s="9" t="s">
        <v>379</v>
      </c>
      <c r="D14" s="52">
        <f t="shared" si="2"/>
        <v>47000000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47000000</v>
      </c>
      <c r="L14" s="115">
        <v>0</v>
      </c>
      <c r="M14" s="107">
        <f t="shared" si="3"/>
        <v>47000000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47000000</v>
      </c>
      <c r="U14" s="115">
        <v>0</v>
      </c>
      <c r="V14" s="128" t="s">
        <v>1088</v>
      </c>
    </row>
    <row r="15" spans="1:22" ht="45" customHeight="1">
      <c r="A15" s="6"/>
      <c r="B15" s="6" t="s">
        <v>380</v>
      </c>
      <c r="C15" s="9" t="s">
        <v>381</v>
      </c>
      <c r="D15" s="52">
        <f t="shared" si="2"/>
        <v>30000000</v>
      </c>
      <c r="E15" s="53">
        <v>0</v>
      </c>
      <c r="F15" s="53">
        <v>0</v>
      </c>
      <c r="G15" s="53">
        <v>30000000</v>
      </c>
      <c r="H15" s="53">
        <v>0</v>
      </c>
      <c r="I15" s="53">
        <v>0</v>
      </c>
      <c r="J15" s="53">
        <v>0</v>
      </c>
      <c r="K15" s="53">
        <v>0</v>
      </c>
      <c r="L15" s="115">
        <v>0</v>
      </c>
      <c r="M15" s="107">
        <f t="shared" si="3"/>
        <v>30000000</v>
      </c>
      <c r="N15" s="53">
        <v>0</v>
      </c>
      <c r="O15" s="53">
        <v>0</v>
      </c>
      <c r="P15" s="53">
        <v>30000000</v>
      </c>
      <c r="Q15" s="53">
        <v>0</v>
      </c>
      <c r="R15" s="53">
        <v>0</v>
      </c>
      <c r="S15" s="53">
        <v>0</v>
      </c>
      <c r="T15" s="53">
        <v>0</v>
      </c>
      <c r="U15" s="115">
        <v>0</v>
      </c>
      <c r="V15" s="128" t="s">
        <v>1089</v>
      </c>
    </row>
    <row r="16" spans="1:22" ht="45" customHeight="1">
      <c r="A16" s="6"/>
      <c r="B16" s="6" t="s">
        <v>382</v>
      </c>
      <c r="C16" s="9" t="s">
        <v>383</v>
      </c>
      <c r="D16" s="52">
        <f t="shared" si="2"/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115">
        <v>0</v>
      </c>
      <c r="M16" s="107">
        <f t="shared" si="3"/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115">
        <v>0</v>
      </c>
      <c r="V16" s="128" t="s">
        <v>1090</v>
      </c>
    </row>
    <row r="17" spans="1:22" ht="18" customHeight="1">
      <c r="A17" s="6"/>
      <c r="B17" s="6" t="s">
        <v>384</v>
      </c>
      <c r="C17" s="9" t="s">
        <v>385</v>
      </c>
      <c r="D17" s="52">
        <f t="shared" si="2"/>
        <v>274770951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274770951</v>
      </c>
      <c r="L17" s="115">
        <v>0</v>
      </c>
      <c r="M17" s="107">
        <f t="shared" si="3"/>
        <v>327156349</v>
      </c>
      <c r="N17" s="53">
        <v>0</v>
      </c>
      <c r="O17" s="53">
        <v>0</v>
      </c>
      <c r="P17" s="53">
        <v>3000000</v>
      </c>
      <c r="Q17" s="53">
        <v>0</v>
      </c>
      <c r="R17" s="53">
        <v>0</v>
      </c>
      <c r="S17" s="53">
        <v>0</v>
      </c>
      <c r="T17" s="53">
        <v>324156349</v>
      </c>
      <c r="U17" s="115">
        <v>0</v>
      </c>
      <c r="V17" s="128" t="s">
        <v>1091</v>
      </c>
    </row>
    <row r="18" spans="1:22" ht="18" customHeight="1">
      <c r="A18" s="59" t="s">
        <v>67</v>
      </c>
      <c r="B18" s="6"/>
      <c r="C18" s="57" t="s">
        <v>41</v>
      </c>
      <c r="D18" s="10">
        <f>SUM(E18:L18)</f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64">
        <v>0</v>
      </c>
      <c r="M18" s="107">
        <f t="shared" si="3"/>
        <v>0</v>
      </c>
      <c r="N18" s="107"/>
      <c r="O18" s="107"/>
      <c r="P18" s="107"/>
      <c r="Q18" s="107"/>
      <c r="R18" s="107"/>
      <c r="S18" s="107"/>
      <c r="T18" s="107"/>
      <c r="U18" s="107"/>
      <c r="V18" s="129"/>
    </row>
    <row r="19" spans="1:22" ht="31.5" customHeight="1">
      <c r="A19" s="56" t="s">
        <v>68</v>
      </c>
      <c r="B19" s="6"/>
      <c r="C19" s="57" t="s">
        <v>43</v>
      </c>
      <c r="D19" s="10">
        <f t="shared" si="2"/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61">
        <v>0</v>
      </c>
      <c r="M19" s="107">
        <f t="shared" si="3"/>
        <v>0</v>
      </c>
      <c r="N19" s="106"/>
      <c r="O19" s="106"/>
      <c r="P19" s="106"/>
      <c r="Q19" s="106"/>
      <c r="R19" s="106"/>
      <c r="S19" s="106"/>
      <c r="T19" s="106"/>
      <c r="U19" s="106"/>
      <c r="V19" s="129"/>
    </row>
    <row r="20" spans="1:22" ht="37.5" customHeight="1">
      <c r="A20" s="454" t="s">
        <v>286</v>
      </c>
      <c r="B20" s="454"/>
      <c r="C20" s="454"/>
      <c r="D20" s="10">
        <f t="shared" si="2"/>
        <v>436770951</v>
      </c>
      <c r="E20" s="58">
        <f aca="true" t="shared" si="4" ref="E20:U20">E10+E18+E19</f>
        <v>0</v>
      </c>
      <c r="F20" s="58">
        <f t="shared" si="4"/>
        <v>0</v>
      </c>
      <c r="G20" s="58">
        <f t="shared" si="4"/>
        <v>110000000</v>
      </c>
      <c r="H20" s="58">
        <f t="shared" si="4"/>
        <v>0</v>
      </c>
      <c r="I20" s="58">
        <f t="shared" si="4"/>
        <v>0</v>
      </c>
      <c r="J20" s="58">
        <f t="shared" si="4"/>
        <v>0</v>
      </c>
      <c r="K20" s="58">
        <f t="shared" si="4"/>
        <v>326770951</v>
      </c>
      <c r="L20" s="64">
        <f t="shared" si="4"/>
        <v>0</v>
      </c>
      <c r="M20" s="64">
        <f t="shared" si="4"/>
        <v>489156349</v>
      </c>
      <c r="N20" s="64">
        <f t="shared" si="4"/>
        <v>0</v>
      </c>
      <c r="O20" s="64">
        <f t="shared" si="4"/>
        <v>0</v>
      </c>
      <c r="P20" s="64">
        <f t="shared" si="4"/>
        <v>113000000</v>
      </c>
      <c r="Q20" s="64">
        <f t="shared" si="4"/>
        <v>0</v>
      </c>
      <c r="R20" s="64">
        <f t="shared" si="4"/>
        <v>0</v>
      </c>
      <c r="S20" s="64">
        <f t="shared" si="4"/>
        <v>0</v>
      </c>
      <c r="T20" s="64">
        <f t="shared" si="4"/>
        <v>376156349</v>
      </c>
      <c r="U20" s="64">
        <f t="shared" si="4"/>
        <v>0</v>
      </c>
      <c r="V20" s="129"/>
    </row>
  </sheetData>
  <sheetProtection selectLockedCells="1" selectUnlockedCells="1"/>
  <mergeCells count="17">
    <mergeCell ref="A20:C20"/>
    <mergeCell ref="E8:I8"/>
    <mergeCell ref="J8:L8"/>
    <mergeCell ref="A7:A9"/>
    <mergeCell ref="B7:B9"/>
    <mergeCell ref="A1:V1"/>
    <mergeCell ref="A3:V3"/>
    <mergeCell ref="A4:V4"/>
    <mergeCell ref="N7:U7"/>
    <mergeCell ref="N8:R8"/>
    <mergeCell ref="A2:V2"/>
    <mergeCell ref="M7:M9"/>
    <mergeCell ref="S8:U8"/>
    <mergeCell ref="E7:L7"/>
    <mergeCell ref="V7:V10"/>
    <mergeCell ref="C7:C9"/>
    <mergeCell ref="D7:D9"/>
  </mergeCells>
  <printOptions horizontalCentered="1" verticalCentered="1"/>
  <pageMargins left="0.2361111111111111" right="0.2361111111111111" top="0.7479166666666667" bottom="0.15763888888888888" header="0.5118055555555555" footer="0.5118055555555555"/>
  <pageSetup fitToHeight="1" fitToWidth="1" horizontalDpi="300" verticalDpi="300" orientation="landscape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5"/>
  <sheetViews>
    <sheetView view="pageBreakPreview" zoomScale="69" zoomScaleNormal="80" zoomScaleSheetLayoutView="69" zoomScalePageLayoutView="0" workbookViewId="0" topLeftCell="A1">
      <selection activeCell="A1" sqref="A1:V1"/>
    </sheetView>
  </sheetViews>
  <sheetFormatPr defaultColWidth="18.140625" defaultRowHeight="12.75"/>
  <cols>
    <col min="1" max="1" width="8.57421875" style="0" customWidth="1"/>
    <col min="2" max="2" width="7.7109375" style="0" customWidth="1"/>
    <col min="3" max="3" width="44.7109375" style="0" customWidth="1"/>
  </cols>
  <sheetData>
    <row r="1" spans="1:22" ht="20.25">
      <c r="A1" s="499" t="s">
        <v>1542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</row>
    <row r="2" spans="1:22" ht="18">
      <c r="A2" s="500" t="s">
        <v>1515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</row>
    <row r="3" spans="1:22" ht="20.25">
      <c r="A3" s="423" t="s">
        <v>711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</row>
    <row r="4" spans="1:22" ht="18">
      <c r="A4" s="497" t="s">
        <v>712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</row>
    <row r="5" spans="1:22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V5" s="111" t="s">
        <v>0</v>
      </c>
    </row>
    <row r="6" spans="1:22" ht="18" customHeight="1">
      <c r="A6" s="144" t="s">
        <v>1</v>
      </c>
      <c r="B6" s="144" t="s">
        <v>2</v>
      </c>
      <c r="C6" s="144" t="s">
        <v>3</v>
      </c>
      <c r="D6" s="144" t="s">
        <v>4</v>
      </c>
      <c r="E6" s="144" t="s">
        <v>5</v>
      </c>
      <c r="F6" s="144" t="s">
        <v>6</v>
      </c>
      <c r="G6" s="144" t="s">
        <v>7</v>
      </c>
      <c r="H6" s="144" t="s">
        <v>8</v>
      </c>
      <c r="I6" s="144" t="s">
        <v>9</v>
      </c>
      <c r="J6" s="145" t="s">
        <v>10</v>
      </c>
      <c r="K6" s="144" t="s">
        <v>11</v>
      </c>
      <c r="L6" s="146" t="s">
        <v>12</v>
      </c>
      <c r="M6" s="144" t="s">
        <v>13</v>
      </c>
      <c r="N6" s="144" t="s">
        <v>14</v>
      </c>
      <c r="O6" s="144" t="s">
        <v>15</v>
      </c>
      <c r="P6" s="144" t="s">
        <v>16</v>
      </c>
      <c r="Q6" s="144" t="s">
        <v>17</v>
      </c>
      <c r="R6" s="144" t="s">
        <v>18</v>
      </c>
      <c r="S6" s="145" t="s">
        <v>19</v>
      </c>
      <c r="T6" s="144" t="s">
        <v>20</v>
      </c>
      <c r="U6" s="146" t="s">
        <v>21</v>
      </c>
      <c r="V6" s="127" t="s">
        <v>179</v>
      </c>
    </row>
    <row r="7" spans="1:22" ht="12.75" customHeight="1">
      <c r="A7" s="413" t="s">
        <v>23</v>
      </c>
      <c r="B7" s="413" t="s">
        <v>183</v>
      </c>
      <c r="C7" s="406" t="s">
        <v>24</v>
      </c>
      <c r="D7" s="406" t="s">
        <v>1262</v>
      </c>
      <c r="E7" s="455" t="s">
        <v>25</v>
      </c>
      <c r="F7" s="455"/>
      <c r="G7" s="455"/>
      <c r="H7" s="455"/>
      <c r="I7" s="455"/>
      <c r="J7" s="455"/>
      <c r="K7" s="455"/>
      <c r="L7" s="456"/>
      <c r="M7" s="406" t="s">
        <v>1467</v>
      </c>
      <c r="N7" s="455" t="s">
        <v>1466</v>
      </c>
      <c r="O7" s="455"/>
      <c r="P7" s="455"/>
      <c r="Q7" s="455"/>
      <c r="R7" s="455"/>
      <c r="S7" s="455"/>
      <c r="T7" s="455"/>
      <c r="U7" s="456"/>
      <c r="V7" s="498" t="s">
        <v>1012</v>
      </c>
    </row>
    <row r="8" spans="1:22" ht="12.75">
      <c r="A8" s="413"/>
      <c r="B8" s="413"/>
      <c r="C8" s="406"/>
      <c r="D8" s="406"/>
      <c r="E8" s="405" t="s">
        <v>26</v>
      </c>
      <c r="F8" s="405"/>
      <c r="G8" s="405"/>
      <c r="H8" s="405"/>
      <c r="I8" s="405"/>
      <c r="J8" s="405" t="s">
        <v>27</v>
      </c>
      <c r="K8" s="405"/>
      <c r="L8" s="457"/>
      <c r="M8" s="406"/>
      <c r="N8" s="405" t="s">
        <v>26</v>
      </c>
      <c r="O8" s="405"/>
      <c r="P8" s="405"/>
      <c r="Q8" s="405"/>
      <c r="R8" s="405"/>
      <c r="S8" s="405" t="s">
        <v>27</v>
      </c>
      <c r="T8" s="405"/>
      <c r="U8" s="457"/>
      <c r="V8" s="498"/>
    </row>
    <row r="9" spans="1:22" ht="63.75">
      <c r="A9" s="413"/>
      <c r="B9" s="413"/>
      <c r="C9" s="406"/>
      <c r="D9" s="406"/>
      <c r="E9" s="5" t="s">
        <v>28</v>
      </c>
      <c r="F9" s="5" t="s">
        <v>29</v>
      </c>
      <c r="G9" s="5" t="s">
        <v>30</v>
      </c>
      <c r="H9" s="5" t="s">
        <v>31</v>
      </c>
      <c r="I9" s="5" t="s">
        <v>32</v>
      </c>
      <c r="J9" s="5" t="s">
        <v>33</v>
      </c>
      <c r="K9" s="5" t="s">
        <v>34</v>
      </c>
      <c r="L9" s="114" t="s">
        <v>35</v>
      </c>
      <c r="M9" s="406"/>
      <c r="N9" s="5" t="s">
        <v>28</v>
      </c>
      <c r="O9" s="5" t="s">
        <v>29</v>
      </c>
      <c r="P9" s="5" t="s">
        <v>30</v>
      </c>
      <c r="Q9" s="5" t="s">
        <v>31</v>
      </c>
      <c r="R9" s="5" t="s">
        <v>32</v>
      </c>
      <c r="S9" s="5" t="s">
        <v>33</v>
      </c>
      <c r="T9" s="5" t="s">
        <v>34</v>
      </c>
      <c r="U9" s="114" t="s">
        <v>35</v>
      </c>
      <c r="V9" s="498"/>
    </row>
    <row r="10" spans="1:22" s="66" customFormat="1" ht="18">
      <c r="A10" s="56" t="s">
        <v>71</v>
      </c>
      <c r="B10" s="56"/>
      <c r="C10" s="57" t="s">
        <v>39</v>
      </c>
      <c r="D10" s="10">
        <f aca="true" t="shared" si="0" ref="D10:D21">SUM(E10:L10)</f>
        <v>47597033</v>
      </c>
      <c r="E10" s="58">
        <f aca="true" t="shared" si="1" ref="E10:U10">SUM(E11:E11)</f>
        <v>11485866</v>
      </c>
      <c r="F10" s="58">
        <f t="shared" si="1"/>
        <v>2072033</v>
      </c>
      <c r="G10" s="58">
        <f t="shared" si="1"/>
        <v>34039134</v>
      </c>
      <c r="H10" s="58">
        <f t="shared" si="1"/>
        <v>0</v>
      </c>
      <c r="I10" s="58">
        <f t="shared" si="1"/>
        <v>0</v>
      </c>
      <c r="J10" s="58">
        <f t="shared" si="1"/>
        <v>0</v>
      </c>
      <c r="K10" s="58">
        <f t="shared" si="1"/>
        <v>0</v>
      </c>
      <c r="L10" s="64">
        <f t="shared" si="1"/>
        <v>0</v>
      </c>
      <c r="M10" s="10">
        <f aca="true" t="shared" si="2" ref="M10:M21">SUM(N10:U10)</f>
        <v>56487033</v>
      </c>
      <c r="N10" s="58">
        <f t="shared" si="1"/>
        <v>11485866</v>
      </c>
      <c r="O10" s="58">
        <f t="shared" si="1"/>
        <v>2072033</v>
      </c>
      <c r="P10" s="58">
        <f t="shared" si="1"/>
        <v>42929134</v>
      </c>
      <c r="Q10" s="58">
        <f t="shared" si="1"/>
        <v>0</v>
      </c>
      <c r="R10" s="58">
        <f t="shared" si="1"/>
        <v>0</v>
      </c>
      <c r="S10" s="58">
        <f t="shared" si="1"/>
        <v>0</v>
      </c>
      <c r="T10" s="58">
        <f t="shared" si="1"/>
        <v>0</v>
      </c>
      <c r="U10" s="64">
        <f t="shared" si="1"/>
        <v>0</v>
      </c>
      <c r="V10" s="498"/>
    </row>
    <row r="11" spans="1:22" ht="49.5" customHeight="1">
      <c r="A11" s="6"/>
      <c r="B11" s="6" t="s">
        <v>713</v>
      </c>
      <c r="C11" s="9" t="s">
        <v>754</v>
      </c>
      <c r="D11" s="52">
        <f t="shared" si="0"/>
        <v>47597033</v>
      </c>
      <c r="E11" s="53">
        <v>11485866</v>
      </c>
      <c r="F11" s="53">
        <v>2072033</v>
      </c>
      <c r="G11" s="53">
        <v>34039134</v>
      </c>
      <c r="H11" s="53">
        <v>0</v>
      </c>
      <c r="I11" s="53">
        <v>0</v>
      </c>
      <c r="J11" s="53">
        <v>0</v>
      </c>
      <c r="K11" s="53">
        <v>0</v>
      </c>
      <c r="L11" s="115">
        <v>0</v>
      </c>
      <c r="M11" s="52">
        <f t="shared" si="2"/>
        <v>56487033</v>
      </c>
      <c r="N11" s="53">
        <v>11485866</v>
      </c>
      <c r="O11" s="53">
        <v>2072033</v>
      </c>
      <c r="P11" s="53">
        <v>42929134</v>
      </c>
      <c r="Q11" s="53">
        <v>0</v>
      </c>
      <c r="R11" s="53">
        <v>0</v>
      </c>
      <c r="S11" s="53">
        <v>0</v>
      </c>
      <c r="T11" s="53">
        <v>0</v>
      </c>
      <c r="U11" s="115">
        <v>0</v>
      </c>
      <c r="V11" s="140" t="s">
        <v>1092</v>
      </c>
    </row>
    <row r="12" spans="1:22" s="66" customFormat="1" ht="18">
      <c r="A12" s="56" t="s">
        <v>72</v>
      </c>
      <c r="B12" s="56"/>
      <c r="C12" s="57" t="s">
        <v>41</v>
      </c>
      <c r="D12" s="10">
        <f t="shared" si="0"/>
        <v>63003500</v>
      </c>
      <c r="E12" s="58">
        <f>SUM(E13:E19)</f>
        <v>8510638</v>
      </c>
      <c r="F12" s="58">
        <f>SUM(F13:F19)</f>
        <v>1489362</v>
      </c>
      <c r="G12" s="58">
        <f>SUM(G13:G19)</f>
        <v>47003500</v>
      </c>
      <c r="H12" s="58">
        <f>SUM(H13:H17)</f>
        <v>0</v>
      </c>
      <c r="I12" s="58">
        <f>SUM(I13:I17)</f>
        <v>0</v>
      </c>
      <c r="J12" s="58">
        <f>SUM(J13:J17)</f>
        <v>0</v>
      </c>
      <c r="K12" s="58">
        <f>SUM(K13:K17)</f>
        <v>6000000</v>
      </c>
      <c r="L12" s="64">
        <f>SUM(L13:L17)</f>
        <v>0</v>
      </c>
      <c r="M12" s="10">
        <f t="shared" si="2"/>
        <v>19363500</v>
      </c>
      <c r="N12" s="58">
        <f>SUM(N13:N19)</f>
        <v>0</v>
      </c>
      <c r="O12" s="58">
        <f>SUM(O13:O19)</f>
        <v>0</v>
      </c>
      <c r="P12" s="58">
        <f>SUM(P13:P19)</f>
        <v>19363500</v>
      </c>
      <c r="Q12" s="58">
        <f>SUM(Q13:Q17)</f>
        <v>0</v>
      </c>
      <c r="R12" s="58">
        <f>SUM(R13:R17)</f>
        <v>0</v>
      </c>
      <c r="S12" s="58">
        <f>SUM(S13:S17)</f>
        <v>0</v>
      </c>
      <c r="T12" s="58">
        <f>SUM(T13:T17)</f>
        <v>0</v>
      </c>
      <c r="U12" s="64">
        <f>SUM(U13:U17)</f>
        <v>0</v>
      </c>
      <c r="V12" s="152"/>
    </row>
    <row r="13" spans="1:22" ht="57.75" customHeight="1">
      <c r="A13" s="6"/>
      <c r="B13" s="6" t="s">
        <v>714</v>
      </c>
      <c r="C13" s="9" t="s">
        <v>1302</v>
      </c>
      <c r="D13" s="52">
        <f t="shared" si="0"/>
        <v>7253500</v>
      </c>
      <c r="E13" s="53">
        <v>0</v>
      </c>
      <c r="F13" s="53">
        <v>0</v>
      </c>
      <c r="G13" s="53">
        <v>6253500</v>
      </c>
      <c r="H13" s="53">
        <v>0</v>
      </c>
      <c r="I13" s="53">
        <v>0</v>
      </c>
      <c r="J13" s="53">
        <v>0</v>
      </c>
      <c r="K13" s="53">
        <v>1000000</v>
      </c>
      <c r="L13" s="115">
        <v>0</v>
      </c>
      <c r="M13" s="52">
        <f t="shared" si="2"/>
        <v>5253500</v>
      </c>
      <c r="N13" s="53">
        <v>0</v>
      </c>
      <c r="O13" s="53">
        <v>0</v>
      </c>
      <c r="P13" s="53">
        <v>5253500</v>
      </c>
      <c r="Q13" s="53">
        <v>0</v>
      </c>
      <c r="R13" s="53">
        <v>0</v>
      </c>
      <c r="S13" s="53">
        <v>0</v>
      </c>
      <c r="T13" s="53">
        <v>0</v>
      </c>
      <c r="U13" s="115">
        <v>0</v>
      </c>
      <c r="V13" s="136" t="s">
        <v>1093</v>
      </c>
    </row>
    <row r="14" spans="1:22" ht="30">
      <c r="A14" s="6"/>
      <c r="B14" s="6" t="s">
        <v>715</v>
      </c>
      <c r="C14" s="67" t="s">
        <v>716</v>
      </c>
      <c r="D14" s="52">
        <f t="shared" si="0"/>
        <v>10000000</v>
      </c>
      <c r="E14" s="53">
        <v>0</v>
      </c>
      <c r="F14" s="53">
        <v>0</v>
      </c>
      <c r="G14" s="53">
        <v>10000000</v>
      </c>
      <c r="H14" s="53">
        <v>0</v>
      </c>
      <c r="I14" s="53">
        <v>0</v>
      </c>
      <c r="J14" s="53">
        <v>0</v>
      </c>
      <c r="K14" s="53">
        <v>0</v>
      </c>
      <c r="L14" s="115">
        <v>0</v>
      </c>
      <c r="M14" s="52">
        <f t="shared" si="2"/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115">
        <v>0</v>
      </c>
      <c r="V14" s="140" t="s">
        <v>1094</v>
      </c>
    </row>
    <row r="15" spans="1:22" ht="30">
      <c r="A15" s="6"/>
      <c r="B15" s="6" t="s">
        <v>717</v>
      </c>
      <c r="C15" s="9" t="s">
        <v>718</v>
      </c>
      <c r="D15" s="52">
        <f>SUM(E15:L15)</f>
        <v>10000000</v>
      </c>
      <c r="E15" s="53">
        <v>8510638</v>
      </c>
      <c r="F15" s="53">
        <v>1489362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115">
        <v>0</v>
      </c>
      <c r="M15" s="52">
        <f t="shared" si="2"/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115">
        <v>0</v>
      </c>
      <c r="V15" s="140" t="s">
        <v>1095</v>
      </c>
    </row>
    <row r="16" spans="1:22" ht="30">
      <c r="A16" s="6"/>
      <c r="B16" s="6" t="s">
        <v>719</v>
      </c>
      <c r="C16" s="9" t="s">
        <v>1301</v>
      </c>
      <c r="D16" s="52">
        <f>SUM(E16:L16)</f>
        <v>5000000</v>
      </c>
      <c r="E16" s="53">
        <v>0</v>
      </c>
      <c r="F16" s="53">
        <v>0</v>
      </c>
      <c r="G16" s="53">
        <v>5000000</v>
      </c>
      <c r="H16" s="53">
        <v>0</v>
      </c>
      <c r="I16" s="53">
        <v>0</v>
      </c>
      <c r="J16" s="53">
        <v>0</v>
      </c>
      <c r="K16" s="53">
        <v>0</v>
      </c>
      <c r="L16" s="115">
        <v>0</v>
      </c>
      <c r="M16" s="52">
        <f t="shared" si="2"/>
        <v>3000000</v>
      </c>
      <c r="N16" s="53">
        <v>0</v>
      </c>
      <c r="O16" s="53">
        <v>0</v>
      </c>
      <c r="P16" s="53">
        <v>3000000</v>
      </c>
      <c r="Q16" s="53">
        <v>0</v>
      </c>
      <c r="R16" s="53">
        <v>0</v>
      </c>
      <c r="S16" s="53">
        <v>0</v>
      </c>
      <c r="T16" s="53">
        <v>0</v>
      </c>
      <c r="U16" s="115">
        <v>0</v>
      </c>
      <c r="V16" s="140" t="s">
        <v>1096</v>
      </c>
    </row>
    <row r="17" spans="1:22" ht="18">
      <c r="A17" s="6"/>
      <c r="B17" s="6" t="s">
        <v>720</v>
      </c>
      <c r="C17" s="9" t="s">
        <v>1263</v>
      </c>
      <c r="D17" s="52">
        <f>SUM(E17:L17)</f>
        <v>5000000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5000000</v>
      </c>
      <c r="L17" s="115">
        <v>0</v>
      </c>
      <c r="M17" s="52">
        <f t="shared" si="2"/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115">
        <v>0</v>
      </c>
      <c r="V17" s="298">
        <v>54125</v>
      </c>
    </row>
    <row r="18" spans="1:22" ht="18">
      <c r="A18" s="6"/>
      <c r="B18" s="6" t="s">
        <v>721</v>
      </c>
      <c r="C18" s="9" t="s">
        <v>1264</v>
      </c>
      <c r="D18" s="52">
        <f>SUM(E18:L18)</f>
        <v>20000000</v>
      </c>
      <c r="E18" s="53">
        <v>0</v>
      </c>
      <c r="F18" s="53">
        <v>0</v>
      </c>
      <c r="G18" s="53">
        <v>20000000</v>
      </c>
      <c r="H18" s="53">
        <v>0</v>
      </c>
      <c r="I18" s="53">
        <v>0</v>
      </c>
      <c r="J18" s="53">
        <v>0</v>
      </c>
      <c r="K18" s="53">
        <v>0</v>
      </c>
      <c r="L18" s="115">
        <v>0</v>
      </c>
      <c r="M18" s="52">
        <f t="shared" si="2"/>
        <v>11110000</v>
      </c>
      <c r="N18" s="53">
        <v>0</v>
      </c>
      <c r="O18" s="53">
        <v>0</v>
      </c>
      <c r="P18" s="53">
        <v>11110000</v>
      </c>
      <c r="Q18" s="53">
        <v>0</v>
      </c>
      <c r="R18" s="53">
        <v>0</v>
      </c>
      <c r="S18" s="53">
        <v>0</v>
      </c>
      <c r="T18" s="53">
        <v>0</v>
      </c>
      <c r="U18" s="115">
        <v>0</v>
      </c>
      <c r="V18" s="298">
        <v>54126</v>
      </c>
    </row>
    <row r="19" spans="1:22" ht="30">
      <c r="A19" s="6"/>
      <c r="B19" s="6" t="s">
        <v>994</v>
      </c>
      <c r="C19" s="9" t="s">
        <v>1265</v>
      </c>
      <c r="D19" s="52">
        <f>SUM(E19:L19)</f>
        <v>5750000</v>
      </c>
      <c r="E19" s="53">
        <v>0</v>
      </c>
      <c r="F19" s="53">
        <v>0</v>
      </c>
      <c r="G19" s="53">
        <v>5750000</v>
      </c>
      <c r="H19" s="53">
        <v>0</v>
      </c>
      <c r="I19" s="53">
        <v>0</v>
      </c>
      <c r="J19" s="53">
        <v>0</v>
      </c>
      <c r="K19" s="53">
        <v>0</v>
      </c>
      <c r="L19" s="115">
        <v>0</v>
      </c>
      <c r="M19" s="52">
        <f t="shared" si="2"/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115">
        <v>0</v>
      </c>
      <c r="V19" s="140">
        <v>54128</v>
      </c>
    </row>
    <row r="20" spans="1:22" s="66" customFormat="1" ht="18">
      <c r="A20" s="56" t="s">
        <v>73</v>
      </c>
      <c r="B20" s="56"/>
      <c r="C20" s="57" t="s">
        <v>43</v>
      </c>
      <c r="D20" s="10">
        <f t="shared" si="0"/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61">
        <v>0</v>
      </c>
      <c r="M20" s="10">
        <f t="shared" si="2"/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61">
        <v>0</v>
      </c>
      <c r="V20" s="171"/>
    </row>
    <row r="21" spans="1:22" ht="18">
      <c r="A21" s="454" t="s">
        <v>286</v>
      </c>
      <c r="B21" s="454"/>
      <c r="C21" s="454"/>
      <c r="D21" s="10">
        <f t="shared" si="0"/>
        <v>110600533</v>
      </c>
      <c r="E21" s="58">
        <f aca="true" t="shared" si="3" ref="E21:L21">E10+E12+E20</f>
        <v>19996504</v>
      </c>
      <c r="F21" s="58">
        <f t="shared" si="3"/>
        <v>3561395</v>
      </c>
      <c r="G21" s="58">
        <f t="shared" si="3"/>
        <v>81042634</v>
      </c>
      <c r="H21" s="58">
        <f t="shared" si="3"/>
        <v>0</v>
      </c>
      <c r="I21" s="58">
        <f t="shared" si="3"/>
        <v>0</v>
      </c>
      <c r="J21" s="58">
        <f t="shared" si="3"/>
        <v>0</v>
      </c>
      <c r="K21" s="58">
        <f t="shared" si="3"/>
        <v>6000000</v>
      </c>
      <c r="L21" s="64">
        <f t="shared" si="3"/>
        <v>0</v>
      </c>
      <c r="M21" s="10">
        <f t="shared" si="2"/>
        <v>75850533</v>
      </c>
      <c r="N21" s="58">
        <f aca="true" t="shared" si="4" ref="N21:U21">N10+N12+N20</f>
        <v>11485866</v>
      </c>
      <c r="O21" s="58">
        <f t="shared" si="4"/>
        <v>2072033</v>
      </c>
      <c r="P21" s="58">
        <f t="shared" si="4"/>
        <v>62292634</v>
      </c>
      <c r="Q21" s="58">
        <f t="shared" si="4"/>
        <v>0</v>
      </c>
      <c r="R21" s="58">
        <f t="shared" si="4"/>
        <v>0</v>
      </c>
      <c r="S21" s="58">
        <f t="shared" si="4"/>
        <v>0</v>
      </c>
      <c r="T21" s="58">
        <f t="shared" si="4"/>
        <v>0</v>
      </c>
      <c r="U21" s="64">
        <f t="shared" si="4"/>
        <v>0</v>
      </c>
      <c r="V21" s="137"/>
    </row>
    <row r="22" spans="4:13" ht="12.75">
      <c r="D22" s="65"/>
      <c r="M22" s="65"/>
    </row>
    <row r="24" spans="11:21" ht="12.75">
      <c r="K24" s="11"/>
      <c r="L24" s="11" t="s">
        <v>428</v>
      </c>
      <c r="T24" s="11"/>
      <c r="U24" s="11" t="s">
        <v>428</v>
      </c>
    </row>
    <row r="25" spans="6:15" ht="12.75">
      <c r="F25" s="65"/>
      <c r="O25" s="65"/>
    </row>
  </sheetData>
  <sheetProtection/>
  <mergeCells count="17">
    <mergeCell ref="V7:V10"/>
    <mergeCell ref="A1:V1"/>
    <mergeCell ref="A3:V3"/>
    <mergeCell ref="A4:V4"/>
    <mergeCell ref="M7:M9"/>
    <mergeCell ref="N7:U7"/>
    <mergeCell ref="N8:R8"/>
    <mergeCell ref="S8:U8"/>
    <mergeCell ref="A2:V2"/>
    <mergeCell ref="A21:C21"/>
    <mergeCell ref="D7:D9"/>
    <mergeCell ref="E7:L7"/>
    <mergeCell ref="E8:I8"/>
    <mergeCell ref="J8:L8"/>
    <mergeCell ref="A7:A9"/>
    <mergeCell ref="C7:C9"/>
    <mergeCell ref="B7:B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43"/>
  <sheetViews>
    <sheetView view="pageBreakPreview" zoomScale="59" zoomScaleNormal="71" zoomScaleSheetLayoutView="59" zoomScalePageLayoutView="0" workbookViewId="0" topLeftCell="A1">
      <pane ySplit="9" topLeftCell="A10" activePane="bottomLeft" state="frozen"/>
      <selection pane="topLeft" activeCell="A1" sqref="A1"/>
      <selection pane="bottomLeft" activeCell="A1" sqref="A1:W1"/>
    </sheetView>
  </sheetViews>
  <sheetFormatPr defaultColWidth="9.140625" defaultRowHeight="12.75"/>
  <cols>
    <col min="1" max="1" width="5.57421875" style="0" customWidth="1"/>
    <col min="3" max="3" width="11.8515625" style="0" customWidth="1"/>
    <col min="4" max="4" width="75.140625" style="0" customWidth="1"/>
    <col min="5" max="5" width="22.57421875" style="0" customWidth="1"/>
    <col min="6" max="6" width="14.57421875" style="0" customWidth="1"/>
    <col min="7" max="8" width="17.00390625" style="0" customWidth="1"/>
    <col min="9" max="9" width="19.421875" style="0" bestFit="1" customWidth="1"/>
    <col min="10" max="10" width="14.57421875" style="0" customWidth="1"/>
    <col min="11" max="11" width="18.8515625" style="0" customWidth="1"/>
    <col min="12" max="13" width="14.57421875" style="0" customWidth="1"/>
    <col min="14" max="14" width="22.57421875" style="0" customWidth="1"/>
    <col min="15" max="15" width="14.57421875" style="0" customWidth="1"/>
    <col min="16" max="17" width="17.00390625" style="0" customWidth="1"/>
    <col min="18" max="18" width="19.421875" style="0" bestFit="1" customWidth="1"/>
    <col min="19" max="19" width="14.57421875" style="0" customWidth="1"/>
    <col min="20" max="20" width="18.8515625" style="0" customWidth="1"/>
    <col min="21" max="22" width="14.57421875" style="0" customWidth="1"/>
    <col min="23" max="23" width="21.8515625" style="0" customWidth="1"/>
  </cols>
  <sheetData>
    <row r="1" spans="1:23" ht="18">
      <c r="A1" s="431" t="s">
        <v>1543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</row>
    <row r="2" spans="1:23" ht="18">
      <c r="A2" s="503" t="s">
        <v>1516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</row>
    <row r="3" spans="1:23" ht="18" customHeight="1">
      <c r="A3" s="496" t="s">
        <v>386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</row>
    <row r="4" spans="1:23" ht="18">
      <c r="A4" s="497" t="s">
        <v>387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</row>
    <row r="5" spans="1:2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1"/>
      <c r="N5" s="1"/>
      <c r="O5" s="1"/>
      <c r="P5" s="1"/>
      <c r="Q5" s="1"/>
      <c r="R5" s="1"/>
      <c r="S5" s="1"/>
      <c r="T5" s="1"/>
      <c r="U5" s="1"/>
      <c r="V5" s="111"/>
      <c r="W5" s="111" t="s">
        <v>0</v>
      </c>
    </row>
    <row r="6" spans="1:23" ht="18" customHeight="1">
      <c r="A6" s="144" t="s">
        <v>1</v>
      </c>
      <c r="B6" s="144" t="s">
        <v>2</v>
      </c>
      <c r="C6" s="144" t="s">
        <v>3</v>
      </c>
      <c r="D6" s="144" t="s">
        <v>4</v>
      </c>
      <c r="E6" s="144" t="s">
        <v>5</v>
      </c>
      <c r="F6" s="144" t="s">
        <v>6</v>
      </c>
      <c r="G6" s="144" t="s">
        <v>7</v>
      </c>
      <c r="H6" s="144" t="s">
        <v>8</v>
      </c>
      <c r="I6" s="144" t="s">
        <v>9</v>
      </c>
      <c r="J6" s="145" t="s">
        <v>10</v>
      </c>
      <c r="K6" s="144" t="s">
        <v>11</v>
      </c>
      <c r="L6" s="146" t="s">
        <v>12</v>
      </c>
      <c r="M6" s="144" t="s">
        <v>13</v>
      </c>
      <c r="N6" s="144" t="s">
        <v>14</v>
      </c>
      <c r="O6" s="144" t="s">
        <v>15</v>
      </c>
      <c r="P6" s="144" t="s">
        <v>16</v>
      </c>
      <c r="Q6" s="144" t="s">
        <v>17</v>
      </c>
      <c r="R6" s="144" t="s">
        <v>18</v>
      </c>
      <c r="S6" s="145" t="s">
        <v>19</v>
      </c>
      <c r="T6" s="144" t="s">
        <v>20</v>
      </c>
      <c r="U6" s="146" t="s">
        <v>21</v>
      </c>
      <c r="V6" s="147" t="s">
        <v>179</v>
      </c>
      <c r="W6" s="147" t="s">
        <v>180</v>
      </c>
    </row>
    <row r="7" spans="1:23" ht="15.75" customHeight="1">
      <c r="A7" s="413" t="s">
        <v>23</v>
      </c>
      <c r="B7" s="413" t="s">
        <v>183</v>
      </c>
      <c r="C7" s="413" t="s">
        <v>320</v>
      </c>
      <c r="D7" s="406" t="s">
        <v>24</v>
      </c>
      <c r="E7" s="409" t="s">
        <v>1262</v>
      </c>
      <c r="F7" s="455" t="s">
        <v>25</v>
      </c>
      <c r="G7" s="455"/>
      <c r="H7" s="455"/>
      <c r="I7" s="455"/>
      <c r="J7" s="455"/>
      <c r="K7" s="455"/>
      <c r="L7" s="455"/>
      <c r="M7" s="456"/>
      <c r="N7" s="409" t="s">
        <v>1467</v>
      </c>
      <c r="O7" s="455" t="s">
        <v>1466</v>
      </c>
      <c r="P7" s="455"/>
      <c r="Q7" s="455"/>
      <c r="R7" s="455"/>
      <c r="S7" s="455"/>
      <c r="T7" s="455"/>
      <c r="U7" s="455"/>
      <c r="V7" s="456"/>
      <c r="W7" s="504" t="s">
        <v>1012</v>
      </c>
    </row>
    <row r="8" spans="1:23" ht="17.25" customHeight="1">
      <c r="A8" s="413"/>
      <c r="B8" s="413"/>
      <c r="C8" s="413"/>
      <c r="D8" s="406"/>
      <c r="E8" s="409"/>
      <c r="F8" s="501" t="s">
        <v>26</v>
      </c>
      <c r="G8" s="501"/>
      <c r="H8" s="501"/>
      <c r="I8" s="501"/>
      <c r="J8" s="501"/>
      <c r="K8" s="501" t="s">
        <v>27</v>
      </c>
      <c r="L8" s="501"/>
      <c r="M8" s="502"/>
      <c r="N8" s="409"/>
      <c r="O8" s="501" t="s">
        <v>26</v>
      </c>
      <c r="P8" s="501"/>
      <c r="Q8" s="501"/>
      <c r="R8" s="501"/>
      <c r="S8" s="501"/>
      <c r="T8" s="501" t="s">
        <v>27</v>
      </c>
      <c r="U8" s="501"/>
      <c r="V8" s="502"/>
      <c r="W8" s="505"/>
    </row>
    <row r="9" spans="1:23" ht="82.5" customHeight="1">
      <c r="A9" s="413"/>
      <c r="B9" s="413"/>
      <c r="C9" s="413"/>
      <c r="D9" s="406"/>
      <c r="E9" s="409"/>
      <c r="F9" s="40" t="s">
        <v>28</v>
      </c>
      <c r="G9" s="40" t="s">
        <v>29</v>
      </c>
      <c r="H9" s="40" t="s">
        <v>30</v>
      </c>
      <c r="I9" s="40" t="s">
        <v>31</v>
      </c>
      <c r="J9" s="40" t="s">
        <v>32</v>
      </c>
      <c r="K9" s="40" t="s">
        <v>33</v>
      </c>
      <c r="L9" s="40" t="s">
        <v>34</v>
      </c>
      <c r="M9" s="150" t="s">
        <v>35</v>
      </c>
      <c r="N9" s="409"/>
      <c r="O9" s="40" t="s">
        <v>28</v>
      </c>
      <c r="P9" s="40" t="s">
        <v>29</v>
      </c>
      <c r="Q9" s="40" t="s">
        <v>30</v>
      </c>
      <c r="R9" s="40" t="s">
        <v>31</v>
      </c>
      <c r="S9" s="40" t="s">
        <v>32</v>
      </c>
      <c r="T9" s="40" t="s">
        <v>33</v>
      </c>
      <c r="U9" s="40" t="s">
        <v>34</v>
      </c>
      <c r="V9" s="150" t="s">
        <v>35</v>
      </c>
      <c r="W9" s="505"/>
    </row>
    <row r="10" spans="1:23" ht="18" customHeight="1">
      <c r="A10" s="6" t="s">
        <v>76</v>
      </c>
      <c r="B10" s="6"/>
      <c r="C10" s="6"/>
      <c r="D10" s="41" t="s">
        <v>39</v>
      </c>
      <c r="E10" s="61">
        <f aca="true" t="shared" si="0" ref="E10:E41">SUM(F10:M10)</f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61">
        <v>0</v>
      </c>
      <c r="N10" s="61">
        <f aca="true" t="shared" si="1" ref="N10:N29">SUM(O10:V10)</f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61">
        <v>0</v>
      </c>
      <c r="W10" s="505"/>
    </row>
    <row r="11" spans="1:23" ht="18">
      <c r="A11" s="6" t="s">
        <v>77</v>
      </c>
      <c r="B11" s="6"/>
      <c r="C11" s="6"/>
      <c r="D11" s="41" t="s">
        <v>41</v>
      </c>
      <c r="E11" s="61">
        <f t="shared" si="0"/>
        <v>5356379690</v>
      </c>
      <c r="F11" s="58">
        <f>SUM(F12:F29)+F30</f>
        <v>0</v>
      </c>
      <c r="G11" s="58">
        <f aca="true" t="shared" si="2" ref="G11:M11">SUM(G12:G29)+G30</f>
        <v>0</v>
      </c>
      <c r="H11" s="58">
        <f t="shared" si="2"/>
        <v>492525695</v>
      </c>
      <c r="I11" s="58">
        <f t="shared" si="2"/>
        <v>0</v>
      </c>
      <c r="J11" s="58">
        <f t="shared" si="2"/>
        <v>4003587</v>
      </c>
      <c r="K11" s="58">
        <f t="shared" si="2"/>
        <v>4848850408</v>
      </c>
      <c r="L11" s="58">
        <f t="shared" si="2"/>
        <v>5000000</v>
      </c>
      <c r="M11" s="58">
        <f t="shared" si="2"/>
        <v>6000000</v>
      </c>
      <c r="N11" s="61">
        <f t="shared" si="1"/>
        <v>4962281381</v>
      </c>
      <c r="O11" s="58">
        <f>SUM(O12:O29)+O30</f>
        <v>0</v>
      </c>
      <c r="P11" s="58">
        <f aca="true" t="shared" si="3" ref="P11:V11">SUM(P12:P29)+P30</f>
        <v>0</v>
      </c>
      <c r="Q11" s="58">
        <f t="shared" si="3"/>
        <v>552083404</v>
      </c>
      <c r="R11" s="58">
        <f t="shared" si="3"/>
        <v>0</v>
      </c>
      <c r="S11" s="58">
        <f t="shared" si="3"/>
        <v>4000000</v>
      </c>
      <c r="T11" s="58">
        <f t="shared" si="3"/>
        <v>4377292813</v>
      </c>
      <c r="U11" s="58">
        <f t="shared" si="3"/>
        <v>0</v>
      </c>
      <c r="V11" s="58">
        <f t="shared" si="3"/>
        <v>28905164</v>
      </c>
      <c r="W11" s="506"/>
    </row>
    <row r="12" spans="1:23" s="55" customFormat="1" ht="18">
      <c r="A12" s="6"/>
      <c r="B12" s="6" t="s">
        <v>388</v>
      </c>
      <c r="C12" s="6"/>
      <c r="D12" s="51" t="s">
        <v>391</v>
      </c>
      <c r="E12" s="52">
        <f t="shared" si="0"/>
        <v>20738162</v>
      </c>
      <c r="F12" s="53">
        <v>0</v>
      </c>
      <c r="G12" s="53">
        <v>0</v>
      </c>
      <c r="H12" s="62">
        <v>0</v>
      </c>
      <c r="I12" s="62">
        <v>0</v>
      </c>
      <c r="J12" s="62">
        <v>0</v>
      </c>
      <c r="K12" s="62">
        <v>20738162</v>
      </c>
      <c r="L12" s="62">
        <v>0</v>
      </c>
      <c r="M12" s="153">
        <v>0</v>
      </c>
      <c r="N12" s="52">
        <f t="shared" si="1"/>
        <v>738162</v>
      </c>
      <c r="O12" s="53">
        <v>0</v>
      </c>
      <c r="P12" s="53">
        <v>0</v>
      </c>
      <c r="Q12" s="62">
        <v>0</v>
      </c>
      <c r="R12" s="62">
        <v>0</v>
      </c>
      <c r="S12" s="62">
        <v>0</v>
      </c>
      <c r="T12" s="62">
        <v>738162</v>
      </c>
      <c r="U12" s="62">
        <v>0</v>
      </c>
      <c r="V12" s="153">
        <v>0</v>
      </c>
      <c r="W12" s="128" t="s">
        <v>1097</v>
      </c>
    </row>
    <row r="13" spans="1:23" s="55" customFormat="1" ht="18">
      <c r="A13" s="6"/>
      <c r="B13" s="6" t="s">
        <v>389</v>
      </c>
      <c r="C13" s="6"/>
      <c r="D13" s="51" t="s">
        <v>393</v>
      </c>
      <c r="E13" s="52">
        <f t="shared" si="0"/>
        <v>10000000</v>
      </c>
      <c r="F13" s="53">
        <v>0</v>
      </c>
      <c r="G13" s="53">
        <v>0</v>
      </c>
      <c r="H13" s="62">
        <v>5000000</v>
      </c>
      <c r="I13" s="62">
        <v>0</v>
      </c>
      <c r="J13" s="62">
        <v>0</v>
      </c>
      <c r="K13" s="62">
        <v>5000000</v>
      </c>
      <c r="L13" s="62">
        <v>0</v>
      </c>
      <c r="M13" s="153">
        <v>0</v>
      </c>
      <c r="N13" s="52">
        <f t="shared" si="1"/>
        <v>5000000</v>
      </c>
      <c r="O13" s="53">
        <v>0</v>
      </c>
      <c r="P13" s="53">
        <v>0</v>
      </c>
      <c r="Q13" s="62">
        <v>5000000</v>
      </c>
      <c r="R13" s="62">
        <v>0</v>
      </c>
      <c r="S13" s="62">
        <v>0</v>
      </c>
      <c r="T13" s="62">
        <v>0</v>
      </c>
      <c r="U13" s="62">
        <v>0</v>
      </c>
      <c r="V13" s="153">
        <v>0</v>
      </c>
      <c r="W13" s="128" t="s">
        <v>1098</v>
      </c>
    </row>
    <row r="14" spans="1:23" s="55" customFormat="1" ht="30">
      <c r="A14" s="6"/>
      <c r="B14" s="6" t="s">
        <v>390</v>
      </c>
      <c r="C14" s="6"/>
      <c r="D14" s="9" t="s">
        <v>1380</v>
      </c>
      <c r="E14" s="52">
        <f t="shared" si="0"/>
        <v>15000000</v>
      </c>
      <c r="F14" s="53">
        <v>0</v>
      </c>
      <c r="G14" s="53">
        <v>0</v>
      </c>
      <c r="H14" s="62">
        <v>5000000</v>
      </c>
      <c r="I14" s="62">
        <v>0</v>
      </c>
      <c r="J14" s="62">
        <v>0</v>
      </c>
      <c r="K14" s="62">
        <v>10000000</v>
      </c>
      <c r="L14" s="62">
        <v>0</v>
      </c>
      <c r="M14" s="153">
        <v>0</v>
      </c>
      <c r="N14" s="52">
        <f t="shared" si="1"/>
        <v>5000000</v>
      </c>
      <c r="O14" s="53">
        <v>0</v>
      </c>
      <c r="P14" s="53">
        <v>0</v>
      </c>
      <c r="Q14" s="62">
        <v>5000000</v>
      </c>
      <c r="R14" s="62">
        <v>0</v>
      </c>
      <c r="S14" s="62">
        <v>0</v>
      </c>
      <c r="T14" s="62">
        <v>0</v>
      </c>
      <c r="U14" s="62">
        <v>0</v>
      </c>
      <c r="V14" s="153">
        <v>0</v>
      </c>
      <c r="W14" s="128" t="s">
        <v>1100</v>
      </c>
    </row>
    <row r="15" spans="1:23" s="55" customFormat="1" ht="18">
      <c r="A15" s="6"/>
      <c r="B15" s="6" t="s">
        <v>392</v>
      </c>
      <c r="C15" s="6"/>
      <c r="D15" s="9" t="s">
        <v>398</v>
      </c>
      <c r="E15" s="52">
        <f t="shared" si="0"/>
        <v>50000000</v>
      </c>
      <c r="F15" s="53">
        <v>0</v>
      </c>
      <c r="G15" s="53">
        <v>0</v>
      </c>
      <c r="H15" s="62">
        <v>0</v>
      </c>
      <c r="I15" s="62">
        <v>0</v>
      </c>
      <c r="J15" s="62">
        <v>0</v>
      </c>
      <c r="K15" s="62">
        <v>50000000</v>
      </c>
      <c r="L15" s="62">
        <v>0</v>
      </c>
      <c r="M15" s="153">
        <v>0</v>
      </c>
      <c r="N15" s="52">
        <f t="shared" si="1"/>
        <v>30000000</v>
      </c>
      <c r="O15" s="53">
        <v>0</v>
      </c>
      <c r="P15" s="53">
        <v>0</v>
      </c>
      <c r="Q15" s="62">
        <v>0</v>
      </c>
      <c r="R15" s="62">
        <v>0</v>
      </c>
      <c r="S15" s="62">
        <v>0</v>
      </c>
      <c r="T15" s="62">
        <v>30000000</v>
      </c>
      <c r="U15" s="62">
        <v>0</v>
      </c>
      <c r="V15" s="153">
        <v>0</v>
      </c>
      <c r="W15" s="128" t="s">
        <v>1101</v>
      </c>
    </row>
    <row r="16" spans="1:23" s="55" customFormat="1" ht="18">
      <c r="A16" s="6"/>
      <c r="B16" s="6" t="s">
        <v>394</v>
      </c>
      <c r="C16" s="6"/>
      <c r="D16" s="9" t="s">
        <v>400</v>
      </c>
      <c r="E16" s="52">
        <f t="shared" si="0"/>
        <v>1000000</v>
      </c>
      <c r="F16" s="53">
        <v>0</v>
      </c>
      <c r="G16" s="53">
        <v>0</v>
      </c>
      <c r="H16" s="62">
        <v>0</v>
      </c>
      <c r="I16" s="62">
        <v>0</v>
      </c>
      <c r="J16" s="62">
        <v>0</v>
      </c>
      <c r="K16" s="62">
        <v>1000000</v>
      </c>
      <c r="L16" s="62">
        <v>0</v>
      </c>
      <c r="M16" s="153">
        <v>0</v>
      </c>
      <c r="N16" s="52">
        <f t="shared" si="1"/>
        <v>1000000</v>
      </c>
      <c r="O16" s="53">
        <v>0</v>
      </c>
      <c r="P16" s="53">
        <v>0</v>
      </c>
      <c r="Q16" s="62">
        <v>0</v>
      </c>
      <c r="R16" s="62">
        <v>0</v>
      </c>
      <c r="S16" s="62">
        <v>0</v>
      </c>
      <c r="T16" s="62">
        <v>1000000</v>
      </c>
      <c r="U16" s="62">
        <v>0</v>
      </c>
      <c r="V16" s="153">
        <v>0</v>
      </c>
      <c r="W16" s="128" t="s">
        <v>1102</v>
      </c>
    </row>
    <row r="17" spans="1:23" s="55" customFormat="1" ht="18">
      <c r="A17" s="6"/>
      <c r="B17" s="6" t="s">
        <v>396</v>
      </c>
      <c r="C17" s="6"/>
      <c r="D17" s="9" t="s">
        <v>405</v>
      </c>
      <c r="E17" s="52">
        <f>SUM(F17:M17)</f>
        <v>9000000</v>
      </c>
      <c r="F17" s="53">
        <v>0</v>
      </c>
      <c r="G17" s="53">
        <v>0</v>
      </c>
      <c r="H17" s="62">
        <v>0</v>
      </c>
      <c r="I17" s="62">
        <v>0</v>
      </c>
      <c r="J17" s="62">
        <v>0</v>
      </c>
      <c r="K17" s="62">
        <v>9000000</v>
      </c>
      <c r="L17" s="62">
        <v>0</v>
      </c>
      <c r="M17" s="153">
        <v>0</v>
      </c>
      <c r="N17" s="52">
        <f t="shared" si="1"/>
        <v>5000000</v>
      </c>
      <c r="O17" s="53">
        <v>0</v>
      </c>
      <c r="P17" s="53">
        <v>0</v>
      </c>
      <c r="Q17" s="62">
        <v>0</v>
      </c>
      <c r="R17" s="62">
        <v>0</v>
      </c>
      <c r="S17" s="62">
        <v>0</v>
      </c>
      <c r="T17" s="62">
        <v>5000000</v>
      </c>
      <c r="U17" s="62">
        <v>0</v>
      </c>
      <c r="V17" s="153">
        <v>0</v>
      </c>
      <c r="W17" s="154" t="s">
        <v>1106</v>
      </c>
    </row>
    <row r="18" spans="1:23" s="55" customFormat="1" ht="18">
      <c r="A18" s="6"/>
      <c r="B18" s="6" t="s">
        <v>397</v>
      </c>
      <c r="C18" s="6"/>
      <c r="D18" s="9" t="s">
        <v>973</v>
      </c>
      <c r="E18" s="52">
        <f>SUM(F18:M18)</f>
        <v>5000000</v>
      </c>
      <c r="F18" s="53">
        <v>0</v>
      </c>
      <c r="G18" s="53">
        <v>0</v>
      </c>
      <c r="H18" s="62">
        <v>0</v>
      </c>
      <c r="I18" s="62">
        <v>0</v>
      </c>
      <c r="J18" s="62">
        <v>0</v>
      </c>
      <c r="K18" s="62">
        <v>0</v>
      </c>
      <c r="L18" s="62">
        <v>5000000</v>
      </c>
      <c r="M18" s="153">
        <v>0</v>
      </c>
      <c r="N18" s="52">
        <f t="shared" si="1"/>
        <v>0</v>
      </c>
      <c r="O18" s="53">
        <v>0</v>
      </c>
      <c r="P18" s="53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153">
        <v>0</v>
      </c>
      <c r="W18" s="154">
        <v>53514</v>
      </c>
    </row>
    <row r="19" spans="1:23" s="55" customFormat="1" ht="18">
      <c r="A19" s="6"/>
      <c r="B19" s="6" t="s">
        <v>399</v>
      </c>
      <c r="C19" s="6"/>
      <c r="D19" s="9" t="s">
        <v>412</v>
      </c>
      <c r="E19" s="52">
        <f>SUM(F19:M19)</f>
        <v>46000000</v>
      </c>
      <c r="F19" s="53">
        <v>0</v>
      </c>
      <c r="G19" s="53">
        <v>0</v>
      </c>
      <c r="H19" s="62">
        <v>6000000</v>
      </c>
      <c r="I19" s="62">
        <v>0</v>
      </c>
      <c r="J19" s="62">
        <v>4000000</v>
      </c>
      <c r="K19" s="62">
        <v>30000000</v>
      </c>
      <c r="L19" s="62">
        <v>0</v>
      </c>
      <c r="M19" s="153">
        <v>6000000</v>
      </c>
      <c r="N19" s="52">
        <f t="shared" si="1"/>
        <v>46000000</v>
      </c>
      <c r="O19" s="53">
        <v>0</v>
      </c>
      <c r="P19" s="53">
        <v>0</v>
      </c>
      <c r="Q19" s="62">
        <v>6000000</v>
      </c>
      <c r="R19" s="62">
        <v>0</v>
      </c>
      <c r="S19" s="62">
        <v>4000000</v>
      </c>
      <c r="T19" s="62">
        <v>30000000</v>
      </c>
      <c r="U19" s="62">
        <v>0</v>
      </c>
      <c r="V19" s="153">
        <v>6000000</v>
      </c>
      <c r="W19" s="154" t="s">
        <v>1107</v>
      </c>
    </row>
    <row r="20" spans="1:23" s="55" customFormat="1" ht="30">
      <c r="A20" s="6"/>
      <c r="B20" s="6" t="s">
        <v>401</v>
      </c>
      <c r="C20" s="6"/>
      <c r="D20" s="9" t="s">
        <v>764</v>
      </c>
      <c r="E20" s="52">
        <f>SUM(F20:M20)</f>
        <v>0</v>
      </c>
      <c r="F20" s="53">
        <v>0</v>
      </c>
      <c r="G20" s="53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153">
        <v>0</v>
      </c>
      <c r="N20" s="52">
        <f t="shared" si="1"/>
        <v>0</v>
      </c>
      <c r="O20" s="53">
        <v>0</v>
      </c>
      <c r="P20" s="53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153">
        <v>0</v>
      </c>
      <c r="W20" s="154" t="s">
        <v>1108</v>
      </c>
    </row>
    <row r="21" spans="1:23" s="55" customFormat="1" ht="30">
      <c r="A21" s="6"/>
      <c r="B21" s="6" t="s">
        <v>402</v>
      </c>
      <c r="C21" s="6"/>
      <c r="D21" s="9" t="s">
        <v>415</v>
      </c>
      <c r="E21" s="52">
        <f>SUM(F21:M21)</f>
        <v>267587952</v>
      </c>
      <c r="F21" s="53">
        <v>0</v>
      </c>
      <c r="G21" s="53">
        <v>0</v>
      </c>
      <c r="H21" s="62">
        <v>2347722</v>
      </c>
      <c r="I21" s="62">
        <v>0</v>
      </c>
      <c r="J21" s="62">
        <v>0</v>
      </c>
      <c r="K21" s="62">
        <v>265240230</v>
      </c>
      <c r="L21" s="62">
        <v>0</v>
      </c>
      <c r="M21" s="153">
        <v>0</v>
      </c>
      <c r="N21" s="52">
        <f t="shared" si="1"/>
        <v>267587952</v>
      </c>
      <c r="O21" s="53">
        <v>0</v>
      </c>
      <c r="P21" s="53">
        <v>0</v>
      </c>
      <c r="Q21" s="62">
        <v>2347722</v>
      </c>
      <c r="R21" s="62">
        <v>0</v>
      </c>
      <c r="S21" s="62">
        <v>0</v>
      </c>
      <c r="T21" s="62">
        <v>265240230</v>
      </c>
      <c r="U21" s="62">
        <v>0</v>
      </c>
      <c r="V21" s="153">
        <v>0</v>
      </c>
      <c r="W21" s="154" t="s">
        <v>1109</v>
      </c>
    </row>
    <row r="22" spans="1:23" s="55" customFormat="1" ht="30">
      <c r="A22" s="6"/>
      <c r="B22" s="6" t="s">
        <v>403</v>
      </c>
      <c r="C22" s="6"/>
      <c r="D22" s="9" t="s">
        <v>763</v>
      </c>
      <c r="E22" s="52">
        <f t="shared" si="0"/>
        <v>21629949</v>
      </c>
      <c r="F22" s="53">
        <v>0</v>
      </c>
      <c r="G22" s="53">
        <v>0</v>
      </c>
      <c r="H22" s="62">
        <v>0</v>
      </c>
      <c r="I22" s="62">
        <v>0</v>
      </c>
      <c r="J22" s="62">
        <v>3587</v>
      </c>
      <c r="K22" s="62">
        <v>21626362</v>
      </c>
      <c r="L22" s="62">
        <v>0</v>
      </c>
      <c r="M22" s="153">
        <v>0</v>
      </c>
      <c r="N22" s="52">
        <f t="shared" si="1"/>
        <v>22905164</v>
      </c>
      <c r="O22" s="53">
        <v>0</v>
      </c>
      <c r="P22" s="53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153">
        <v>22905164</v>
      </c>
      <c r="W22" s="128" t="s">
        <v>1103</v>
      </c>
    </row>
    <row r="23" spans="1:23" s="55" customFormat="1" ht="30">
      <c r="A23" s="6"/>
      <c r="B23" s="6" t="s">
        <v>404</v>
      </c>
      <c r="C23" s="6"/>
      <c r="D23" s="9" t="s">
        <v>808</v>
      </c>
      <c r="E23" s="52">
        <f t="shared" si="0"/>
        <v>8811968</v>
      </c>
      <c r="F23" s="53">
        <v>0</v>
      </c>
      <c r="G23" s="53">
        <v>0</v>
      </c>
      <c r="H23" s="62">
        <v>489661</v>
      </c>
      <c r="I23" s="62">
        <v>0</v>
      </c>
      <c r="J23" s="62">
        <v>0</v>
      </c>
      <c r="K23" s="62">
        <v>8322307</v>
      </c>
      <c r="L23" s="62">
        <v>0</v>
      </c>
      <c r="M23" s="153">
        <v>0</v>
      </c>
      <c r="N23" s="52">
        <f t="shared" si="1"/>
        <v>8811968</v>
      </c>
      <c r="O23" s="53">
        <v>0</v>
      </c>
      <c r="P23" s="53">
        <v>0</v>
      </c>
      <c r="Q23" s="62">
        <v>489661</v>
      </c>
      <c r="R23" s="62">
        <v>0</v>
      </c>
      <c r="S23" s="62">
        <v>0</v>
      </c>
      <c r="T23" s="62">
        <v>8322307</v>
      </c>
      <c r="U23" s="62">
        <v>0</v>
      </c>
      <c r="V23" s="153">
        <v>0</v>
      </c>
      <c r="W23" s="154" t="s">
        <v>1104</v>
      </c>
    </row>
    <row r="24" spans="1:23" s="55" customFormat="1" ht="30">
      <c r="A24" s="6"/>
      <c r="B24" s="6" t="s">
        <v>406</v>
      </c>
      <c r="C24" s="6"/>
      <c r="D24" s="9" t="s">
        <v>722</v>
      </c>
      <c r="E24" s="52">
        <f>SUM(F24:M24)</f>
        <v>468941836</v>
      </c>
      <c r="F24" s="53">
        <v>0</v>
      </c>
      <c r="G24" s="53">
        <v>0</v>
      </c>
      <c r="H24" s="62">
        <v>6271006</v>
      </c>
      <c r="I24" s="62">
        <v>0</v>
      </c>
      <c r="J24" s="62">
        <v>0</v>
      </c>
      <c r="K24" s="62">
        <v>462670830</v>
      </c>
      <c r="L24" s="62">
        <v>0</v>
      </c>
      <c r="M24" s="153">
        <v>0</v>
      </c>
      <c r="N24" s="52">
        <f t="shared" si="1"/>
        <v>468941836</v>
      </c>
      <c r="O24" s="53">
        <v>0</v>
      </c>
      <c r="P24" s="53">
        <v>0</v>
      </c>
      <c r="Q24" s="62">
        <v>6451006</v>
      </c>
      <c r="R24" s="62">
        <v>0</v>
      </c>
      <c r="S24" s="62">
        <v>0</v>
      </c>
      <c r="T24" s="62">
        <v>462490830</v>
      </c>
      <c r="U24" s="62">
        <v>0</v>
      </c>
      <c r="V24" s="153">
        <v>0</v>
      </c>
      <c r="W24" s="128" t="s">
        <v>1112</v>
      </c>
    </row>
    <row r="25" spans="1:23" s="55" customFormat="1" ht="30">
      <c r="A25" s="6"/>
      <c r="B25" s="6" t="s">
        <v>407</v>
      </c>
      <c r="C25" s="6"/>
      <c r="D25" s="9" t="s">
        <v>723</v>
      </c>
      <c r="E25" s="52">
        <f>SUM(F25:M25)</f>
        <v>67918085</v>
      </c>
      <c r="F25" s="62">
        <v>0</v>
      </c>
      <c r="G25" s="62">
        <v>0</v>
      </c>
      <c r="H25" s="62">
        <v>855218</v>
      </c>
      <c r="I25" s="62">
        <v>0</v>
      </c>
      <c r="J25" s="62">
        <v>0</v>
      </c>
      <c r="K25" s="62">
        <v>67062867</v>
      </c>
      <c r="L25" s="62">
        <v>0</v>
      </c>
      <c r="M25" s="153">
        <v>0</v>
      </c>
      <c r="N25" s="52">
        <f t="shared" si="1"/>
        <v>67918085</v>
      </c>
      <c r="O25" s="62">
        <v>0</v>
      </c>
      <c r="P25" s="62">
        <v>0</v>
      </c>
      <c r="Q25" s="62">
        <v>11435667</v>
      </c>
      <c r="R25" s="62">
        <v>0</v>
      </c>
      <c r="S25" s="62">
        <v>0</v>
      </c>
      <c r="T25" s="62">
        <v>56482418</v>
      </c>
      <c r="U25" s="62">
        <v>0</v>
      </c>
      <c r="V25" s="153">
        <v>0</v>
      </c>
      <c r="W25" s="128" t="s">
        <v>1113</v>
      </c>
    </row>
    <row r="26" spans="1:23" s="55" customFormat="1" ht="30">
      <c r="A26" s="6"/>
      <c r="B26" s="6" t="s">
        <v>408</v>
      </c>
      <c r="C26" s="6"/>
      <c r="D26" s="9" t="s">
        <v>416</v>
      </c>
      <c r="E26" s="52">
        <f t="shared" si="0"/>
        <v>305280693</v>
      </c>
      <c r="F26" s="62">
        <v>0</v>
      </c>
      <c r="G26" s="62">
        <v>0</v>
      </c>
      <c r="H26" s="62">
        <v>7506208</v>
      </c>
      <c r="I26" s="62">
        <v>0</v>
      </c>
      <c r="J26" s="62">
        <v>0</v>
      </c>
      <c r="K26" s="62">
        <v>297774485</v>
      </c>
      <c r="L26" s="62">
        <v>0</v>
      </c>
      <c r="M26" s="62">
        <v>0</v>
      </c>
      <c r="N26" s="52">
        <f t="shared" si="1"/>
        <v>305280693</v>
      </c>
      <c r="O26" s="62">
        <v>0</v>
      </c>
      <c r="P26" s="62">
        <v>0</v>
      </c>
      <c r="Q26" s="62">
        <v>7506208</v>
      </c>
      <c r="R26" s="62">
        <v>0</v>
      </c>
      <c r="S26" s="62">
        <v>0</v>
      </c>
      <c r="T26" s="62">
        <v>297774485</v>
      </c>
      <c r="U26" s="62">
        <v>0</v>
      </c>
      <c r="V26" s="62">
        <v>0</v>
      </c>
      <c r="W26" s="154" t="s">
        <v>1110</v>
      </c>
    </row>
    <row r="27" spans="1:23" s="55" customFormat="1" ht="30">
      <c r="A27" s="6"/>
      <c r="B27" s="6" t="s">
        <v>409</v>
      </c>
      <c r="C27" s="6"/>
      <c r="D27" s="9" t="s">
        <v>809</v>
      </c>
      <c r="E27" s="52">
        <f t="shared" si="0"/>
        <v>964709258</v>
      </c>
      <c r="F27" s="62">
        <v>0</v>
      </c>
      <c r="G27" s="62">
        <v>0</v>
      </c>
      <c r="H27" s="62">
        <v>95721780</v>
      </c>
      <c r="I27" s="62">
        <v>0</v>
      </c>
      <c r="J27" s="62">
        <v>0</v>
      </c>
      <c r="K27" s="62">
        <v>868987478</v>
      </c>
      <c r="L27" s="62">
        <v>0</v>
      </c>
      <c r="M27" s="62">
        <v>0</v>
      </c>
      <c r="N27" s="52">
        <f t="shared" si="1"/>
        <v>964709258</v>
      </c>
      <c r="O27" s="62">
        <v>0</v>
      </c>
      <c r="P27" s="62">
        <v>0</v>
      </c>
      <c r="Q27" s="62">
        <v>103681499</v>
      </c>
      <c r="R27" s="62">
        <v>0</v>
      </c>
      <c r="S27" s="62">
        <v>0</v>
      </c>
      <c r="T27" s="62">
        <v>861027759</v>
      </c>
      <c r="U27" s="62">
        <v>0</v>
      </c>
      <c r="V27" s="62">
        <v>0</v>
      </c>
      <c r="W27" s="128" t="s">
        <v>1111</v>
      </c>
    </row>
    <row r="28" spans="1:23" s="55" customFormat="1" ht="18">
      <c r="A28" s="6"/>
      <c r="B28" s="6" t="s">
        <v>411</v>
      </c>
      <c r="C28" s="6"/>
      <c r="D28" s="9" t="s">
        <v>753</v>
      </c>
      <c r="E28" s="52">
        <f t="shared" si="0"/>
        <v>10000000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10000000</v>
      </c>
      <c r="L28" s="62">
        <v>0</v>
      </c>
      <c r="M28" s="62">
        <v>0</v>
      </c>
      <c r="N28" s="52">
        <f t="shared" si="1"/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128" t="s">
        <v>1114</v>
      </c>
    </row>
    <row r="29" spans="1:23" s="55" customFormat="1" ht="30">
      <c r="A29" s="6"/>
      <c r="B29" s="6" t="s">
        <v>413</v>
      </c>
      <c r="C29" s="6"/>
      <c r="D29" s="122" t="s">
        <v>1266</v>
      </c>
      <c r="E29" s="52">
        <f>SUM(F29:M29)</f>
        <v>16611600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16611600</v>
      </c>
      <c r="L29" s="62">
        <v>0</v>
      </c>
      <c r="M29" s="62">
        <v>0</v>
      </c>
      <c r="N29" s="52">
        <f t="shared" si="1"/>
        <v>16611600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16611600</v>
      </c>
      <c r="U29" s="62">
        <v>0</v>
      </c>
      <c r="V29" s="62">
        <v>0</v>
      </c>
      <c r="W29" s="128" t="s">
        <v>1115</v>
      </c>
    </row>
    <row r="30" spans="1:23" s="202" customFormat="1" ht="18">
      <c r="A30" s="56"/>
      <c r="B30" s="56" t="s">
        <v>414</v>
      </c>
      <c r="C30" s="56"/>
      <c r="D30" s="200" t="s">
        <v>1379</v>
      </c>
      <c r="E30" s="10">
        <f>SUM(E31:E39)</f>
        <v>3068150187</v>
      </c>
      <c r="F30" s="10">
        <f>SUM(F31:F39)</f>
        <v>0</v>
      </c>
      <c r="G30" s="10">
        <f aca="true" t="shared" si="4" ref="G30:M30">SUM(G31:G39)</f>
        <v>0</v>
      </c>
      <c r="H30" s="10">
        <f t="shared" si="4"/>
        <v>363334100</v>
      </c>
      <c r="I30" s="10">
        <f t="shared" si="4"/>
        <v>0</v>
      </c>
      <c r="J30" s="10">
        <f t="shared" si="4"/>
        <v>0</v>
      </c>
      <c r="K30" s="10">
        <f t="shared" si="4"/>
        <v>2704816087</v>
      </c>
      <c r="L30" s="10">
        <f t="shared" si="4"/>
        <v>0</v>
      </c>
      <c r="M30" s="10">
        <f t="shared" si="4"/>
        <v>0</v>
      </c>
      <c r="N30" s="10">
        <f>SUM(N31:N39)</f>
        <v>2746776663</v>
      </c>
      <c r="O30" s="10">
        <f>SUM(O31:O39)</f>
        <v>0</v>
      </c>
      <c r="P30" s="10">
        <f aca="true" t="shared" si="5" ref="P30:V30">SUM(P31:P39)</f>
        <v>0</v>
      </c>
      <c r="Q30" s="10">
        <f t="shared" si="5"/>
        <v>404171641</v>
      </c>
      <c r="R30" s="10">
        <f t="shared" si="5"/>
        <v>0</v>
      </c>
      <c r="S30" s="10">
        <f t="shared" si="5"/>
        <v>0</v>
      </c>
      <c r="T30" s="10">
        <f t="shared" si="5"/>
        <v>2342605022</v>
      </c>
      <c r="U30" s="10">
        <f t="shared" si="5"/>
        <v>0</v>
      </c>
      <c r="V30" s="10">
        <f t="shared" si="5"/>
        <v>0</v>
      </c>
      <c r="W30" s="201"/>
    </row>
    <row r="31" spans="1:23" s="55" customFormat="1" ht="18">
      <c r="A31" s="6"/>
      <c r="B31" s="6"/>
      <c r="C31" s="6" t="s">
        <v>1381</v>
      </c>
      <c r="D31" s="9" t="s">
        <v>417</v>
      </c>
      <c r="E31" s="52">
        <f t="shared" si="0"/>
        <v>753900242</v>
      </c>
      <c r="F31" s="62">
        <v>0</v>
      </c>
      <c r="G31" s="62">
        <v>0</v>
      </c>
      <c r="H31" s="62">
        <v>101671350</v>
      </c>
      <c r="I31" s="62">
        <v>0</v>
      </c>
      <c r="J31" s="62">
        <v>0</v>
      </c>
      <c r="K31" s="62">
        <v>652228892</v>
      </c>
      <c r="L31" s="62">
        <v>0</v>
      </c>
      <c r="M31" s="62">
        <v>0</v>
      </c>
      <c r="N31" s="52">
        <f aca="true" t="shared" si="6" ref="N31:N41">SUM(O31:V31)</f>
        <v>674402836</v>
      </c>
      <c r="O31" s="62">
        <v>0</v>
      </c>
      <c r="P31" s="62">
        <v>0</v>
      </c>
      <c r="Q31" s="62">
        <v>101671350</v>
      </c>
      <c r="R31" s="62">
        <v>0</v>
      </c>
      <c r="S31" s="62">
        <v>0</v>
      </c>
      <c r="T31" s="62">
        <v>572731486</v>
      </c>
      <c r="U31" s="62">
        <v>0</v>
      </c>
      <c r="V31" s="62">
        <v>0</v>
      </c>
      <c r="W31" s="155" t="s">
        <v>1116</v>
      </c>
    </row>
    <row r="32" spans="1:23" s="55" customFormat="1" ht="33" customHeight="1">
      <c r="A32" s="6"/>
      <c r="B32" s="6"/>
      <c r="C32" s="6" t="s">
        <v>1382</v>
      </c>
      <c r="D32" s="9" t="s">
        <v>1378</v>
      </c>
      <c r="E32" s="52">
        <f t="shared" si="0"/>
        <v>323790023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323790023</v>
      </c>
      <c r="L32" s="62">
        <v>0</v>
      </c>
      <c r="M32" s="62">
        <v>0</v>
      </c>
      <c r="N32" s="52">
        <f t="shared" si="6"/>
        <v>253790023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253790023</v>
      </c>
      <c r="U32" s="62">
        <v>0</v>
      </c>
      <c r="V32" s="62">
        <v>0</v>
      </c>
      <c r="W32" s="128" t="s">
        <v>1117</v>
      </c>
    </row>
    <row r="33" spans="1:23" s="55" customFormat="1" ht="18">
      <c r="A33" s="6"/>
      <c r="B33" s="6"/>
      <c r="C33" s="6" t="s">
        <v>1383</v>
      </c>
      <c r="D33" s="51" t="s">
        <v>395</v>
      </c>
      <c r="E33" s="52">
        <f>SUM(F33:M33)</f>
        <v>73754863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73754863</v>
      </c>
      <c r="L33" s="62">
        <v>0</v>
      </c>
      <c r="M33" s="62">
        <v>0</v>
      </c>
      <c r="N33" s="52">
        <f t="shared" si="6"/>
        <v>73754863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73754863</v>
      </c>
      <c r="U33" s="62">
        <v>0</v>
      </c>
      <c r="V33" s="62">
        <v>0</v>
      </c>
      <c r="W33" s="128" t="s">
        <v>1099</v>
      </c>
    </row>
    <row r="34" spans="1:23" s="55" customFormat="1" ht="33" customHeight="1">
      <c r="A34" s="6"/>
      <c r="B34" s="6"/>
      <c r="C34" s="6" t="s">
        <v>1385</v>
      </c>
      <c r="D34" s="9" t="s">
        <v>1306</v>
      </c>
      <c r="E34" s="52">
        <f t="shared" si="0"/>
        <v>50000000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f>100000000-50000000</f>
        <v>50000000</v>
      </c>
      <c r="L34" s="62">
        <v>0</v>
      </c>
      <c r="M34" s="62">
        <v>0</v>
      </c>
      <c r="N34" s="52">
        <f t="shared" si="6"/>
        <v>50000000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50000000</v>
      </c>
      <c r="U34" s="62">
        <v>0</v>
      </c>
      <c r="V34" s="62">
        <v>0</v>
      </c>
      <c r="W34" s="299">
        <v>53530</v>
      </c>
    </row>
    <row r="35" spans="1:23" s="197" customFormat="1" ht="31.5">
      <c r="A35" s="8"/>
      <c r="B35" s="198"/>
      <c r="C35" s="198" t="s">
        <v>1386</v>
      </c>
      <c r="D35" s="199" t="s">
        <v>325</v>
      </c>
      <c r="E35" s="203">
        <f t="shared" si="0"/>
        <v>1130514168</v>
      </c>
      <c r="F35" s="62">
        <v>0</v>
      </c>
      <c r="G35" s="62">
        <v>0</v>
      </c>
      <c r="H35" s="204">
        <v>201057686</v>
      </c>
      <c r="I35" s="62">
        <v>0</v>
      </c>
      <c r="J35" s="62">
        <v>0</v>
      </c>
      <c r="K35" s="204">
        <v>929456482</v>
      </c>
      <c r="L35" s="62">
        <v>0</v>
      </c>
      <c r="M35" s="62">
        <v>0</v>
      </c>
      <c r="N35" s="203">
        <f t="shared" si="6"/>
        <v>1031067360</v>
      </c>
      <c r="O35" s="62">
        <v>0</v>
      </c>
      <c r="P35" s="62">
        <v>0</v>
      </c>
      <c r="Q35" s="204">
        <v>201057686</v>
      </c>
      <c r="R35" s="62">
        <v>0</v>
      </c>
      <c r="S35" s="62">
        <v>0</v>
      </c>
      <c r="T35" s="204">
        <v>830009674</v>
      </c>
      <c r="U35" s="62">
        <v>0</v>
      </c>
      <c r="V35" s="62">
        <v>0</v>
      </c>
      <c r="W35" s="300">
        <v>542004</v>
      </c>
    </row>
    <row r="36" spans="1:23" s="55" customFormat="1" ht="33" customHeight="1">
      <c r="A36" s="6"/>
      <c r="B36" s="6"/>
      <c r="C36" s="6" t="s">
        <v>1384</v>
      </c>
      <c r="D36" s="9" t="s">
        <v>1276</v>
      </c>
      <c r="E36" s="52">
        <f t="shared" si="0"/>
        <v>100000000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f>396000000-296000000</f>
        <v>100000000</v>
      </c>
      <c r="L36" s="62">
        <v>0</v>
      </c>
      <c r="M36" s="62">
        <v>0</v>
      </c>
      <c r="N36" s="52">
        <f t="shared" si="6"/>
        <v>20000000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20000000</v>
      </c>
      <c r="U36" s="62">
        <v>0</v>
      </c>
      <c r="V36" s="62">
        <v>0</v>
      </c>
      <c r="W36" s="299">
        <v>53531</v>
      </c>
    </row>
    <row r="37" spans="1:23" s="55" customFormat="1" ht="33" customHeight="1">
      <c r="A37" s="6"/>
      <c r="B37" s="6"/>
      <c r="C37" s="6" t="s">
        <v>1387</v>
      </c>
      <c r="D37" s="9" t="s">
        <v>1278</v>
      </c>
      <c r="E37" s="52">
        <f>SUM(F37:M37)</f>
        <v>40000000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f>171144200-131144200</f>
        <v>40000000</v>
      </c>
      <c r="L37" s="62">
        <v>0</v>
      </c>
      <c r="M37" s="62">
        <v>0</v>
      </c>
      <c r="N37" s="52">
        <f t="shared" si="6"/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299">
        <v>53532</v>
      </c>
    </row>
    <row r="38" spans="1:23" s="55" customFormat="1" ht="33" customHeight="1">
      <c r="A38" s="6"/>
      <c r="B38" s="6"/>
      <c r="C38" s="6" t="s">
        <v>1388</v>
      </c>
      <c r="D38" s="9" t="s">
        <v>1277</v>
      </c>
      <c r="E38" s="52">
        <f t="shared" si="0"/>
        <v>71000000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f>102700000-31700000</f>
        <v>71000000</v>
      </c>
      <c r="L38" s="62">
        <v>0</v>
      </c>
      <c r="M38" s="62">
        <v>0</v>
      </c>
      <c r="N38" s="52">
        <f t="shared" si="6"/>
        <v>118570690</v>
      </c>
      <c r="O38" s="62">
        <v>0</v>
      </c>
      <c r="P38" s="62">
        <v>0</v>
      </c>
      <c r="Q38" s="62">
        <v>23728342</v>
      </c>
      <c r="R38" s="62">
        <v>0</v>
      </c>
      <c r="S38" s="62">
        <v>0</v>
      </c>
      <c r="T38" s="62">
        <v>94842348</v>
      </c>
      <c r="U38" s="62">
        <v>0</v>
      </c>
      <c r="V38" s="62">
        <v>0</v>
      </c>
      <c r="W38" s="299">
        <v>53533</v>
      </c>
    </row>
    <row r="39" spans="1:23" s="55" customFormat="1" ht="30">
      <c r="A39" s="6"/>
      <c r="B39" s="6"/>
      <c r="C39" s="6" t="s">
        <v>1389</v>
      </c>
      <c r="D39" s="9" t="s">
        <v>951</v>
      </c>
      <c r="E39" s="52">
        <f>SUM(F39:M39)</f>
        <v>525190891</v>
      </c>
      <c r="F39" s="62">
        <v>0</v>
      </c>
      <c r="G39" s="62">
        <v>0</v>
      </c>
      <c r="H39" s="62">
        <v>60605064</v>
      </c>
      <c r="I39" s="62">
        <v>0</v>
      </c>
      <c r="J39" s="62">
        <v>0</v>
      </c>
      <c r="K39" s="62">
        <v>464585827</v>
      </c>
      <c r="L39" s="62">
        <v>0</v>
      </c>
      <c r="M39" s="62">
        <v>0</v>
      </c>
      <c r="N39" s="52">
        <f t="shared" si="6"/>
        <v>525190891</v>
      </c>
      <c r="O39" s="62">
        <v>0</v>
      </c>
      <c r="P39" s="62">
        <v>0</v>
      </c>
      <c r="Q39" s="62">
        <v>77714263</v>
      </c>
      <c r="R39" s="62">
        <v>0</v>
      </c>
      <c r="S39" s="62">
        <v>0</v>
      </c>
      <c r="T39" s="62">
        <v>447476628</v>
      </c>
      <c r="U39" s="62">
        <v>0</v>
      </c>
      <c r="V39" s="62">
        <v>0</v>
      </c>
      <c r="W39" s="154" t="s">
        <v>1105</v>
      </c>
    </row>
    <row r="40" spans="1:23" ht="18">
      <c r="A40" s="6" t="s">
        <v>78</v>
      </c>
      <c r="B40" s="6"/>
      <c r="C40" s="6"/>
      <c r="D40" s="41" t="s">
        <v>43</v>
      </c>
      <c r="E40" s="52">
        <f t="shared" si="0"/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64">
        <v>0</v>
      </c>
      <c r="M40" s="61">
        <v>0</v>
      </c>
      <c r="N40" s="52">
        <f t="shared" si="6"/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64">
        <v>0</v>
      </c>
      <c r="V40" s="61">
        <v>0</v>
      </c>
      <c r="W40" s="128"/>
    </row>
    <row r="41" spans="1:23" ht="28.5" customHeight="1">
      <c r="A41" s="454" t="s">
        <v>286</v>
      </c>
      <c r="B41" s="454"/>
      <c r="C41" s="454"/>
      <c r="D41" s="454"/>
      <c r="E41" s="10">
        <f t="shared" si="0"/>
        <v>5356379690</v>
      </c>
      <c r="F41" s="58">
        <f aca="true" t="shared" si="7" ref="F41:M41">F10+F11+F40</f>
        <v>0</v>
      </c>
      <c r="G41" s="58">
        <f t="shared" si="7"/>
        <v>0</v>
      </c>
      <c r="H41" s="58">
        <f t="shared" si="7"/>
        <v>492525695</v>
      </c>
      <c r="I41" s="58">
        <f t="shared" si="7"/>
        <v>0</v>
      </c>
      <c r="J41" s="58">
        <f t="shared" si="7"/>
        <v>4003587</v>
      </c>
      <c r="K41" s="58">
        <f t="shared" si="7"/>
        <v>4848850408</v>
      </c>
      <c r="L41" s="64">
        <f t="shared" si="7"/>
        <v>5000000</v>
      </c>
      <c r="M41" s="64">
        <f t="shared" si="7"/>
        <v>6000000</v>
      </c>
      <c r="N41" s="10">
        <f t="shared" si="6"/>
        <v>4962281381</v>
      </c>
      <c r="O41" s="58">
        <f aca="true" t="shared" si="8" ref="O41:V41">O10+O11+O40</f>
        <v>0</v>
      </c>
      <c r="P41" s="58">
        <f t="shared" si="8"/>
        <v>0</v>
      </c>
      <c r="Q41" s="58">
        <f t="shared" si="8"/>
        <v>552083404</v>
      </c>
      <c r="R41" s="58">
        <f t="shared" si="8"/>
        <v>0</v>
      </c>
      <c r="S41" s="58">
        <f t="shared" si="8"/>
        <v>4000000</v>
      </c>
      <c r="T41" s="58">
        <f t="shared" si="8"/>
        <v>4377292813</v>
      </c>
      <c r="U41" s="64">
        <f t="shared" si="8"/>
        <v>0</v>
      </c>
      <c r="V41" s="64">
        <f t="shared" si="8"/>
        <v>28905164</v>
      </c>
      <c r="W41" s="128"/>
    </row>
    <row r="42" spans="5:14" ht="12.75">
      <c r="E42" s="121" t="e">
        <f>E41-E22-E23-#REF!-#REF!-#REF!-#REF!-#REF!-#REF!-E26-E27-#REF!</f>
        <v>#REF!</v>
      </c>
      <c r="N42" s="121" t="e">
        <f>N41-N22-N23-#REF!-#REF!-#REF!-#REF!-#REF!-#REF!-N26-N27-#REF!</f>
        <v>#REF!</v>
      </c>
    </row>
    <row r="43" spans="5:14" ht="12.75">
      <c r="E43" s="118"/>
      <c r="N43" s="118"/>
    </row>
  </sheetData>
  <sheetProtection selectLockedCells="1" selectUnlockedCells="1"/>
  <mergeCells count="18">
    <mergeCell ref="A1:W1"/>
    <mergeCell ref="A3:W3"/>
    <mergeCell ref="A4:W4"/>
    <mergeCell ref="C7:C9"/>
    <mergeCell ref="A2:W2"/>
    <mergeCell ref="A7:A9"/>
    <mergeCell ref="W7:W11"/>
    <mergeCell ref="N7:N9"/>
    <mergeCell ref="O7:V7"/>
    <mergeCell ref="O8:S8"/>
    <mergeCell ref="T8:V8"/>
    <mergeCell ref="A41:D41"/>
    <mergeCell ref="F7:M7"/>
    <mergeCell ref="F8:J8"/>
    <mergeCell ref="K8:M8"/>
    <mergeCell ref="B7:B9"/>
    <mergeCell ref="D7:D9"/>
    <mergeCell ref="E7:E9"/>
  </mergeCells>
  <printOptions horizontalCentered="1" verticalCentered="1"/>
  <pageMargins left="0.2362204724409449" right="0.2362204724409449" top="0.5511811023622047" bottom="0.15748031496062992" header="0.5118110236220472" footer="0.5118110236220472"/>
  <pageSetup fitToHeight="1" fitToWidth="1" horizontalDpi="300" verticalDpi="3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Almási László</dc:creator>
  <cp:keywords/>
  <dc:description/>
  <cp:lastModifiedBy>Csorbáné Orbán Zsuzsanna</cp:lastModifiedBy>
  <cp:lastPrinted>2020-11-23T07:33:12Z</cp:lastPrinted>
  <dcterms:created xsi:type="dcterms:W3CDTF">2018-01-24T09:14:24Z</dcterms:created>
  <dcterms:modified xsi:type="dcterms:W3CDTF">2020-11-23T07:43:16Z</dcterms:modified>
  <cp:category/>
  <cp:version/>
  <cp:contentType/>
  <cp:contentStatus/>
</cp:coreProperties>
</file>