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45" yWindow="15" windowWidth="15480" windowHeight="9600"/>
  </bookViews>
  <sheets>
    <sheet name="1. Bevételek" sheetId="41" r:id="rId1"/>
    <sheet name="1.1. Bevételek(KÖT,ÖNV,Áll-i)" sheetId="208" r:id="rId2"/>
    <sheet name="2. Kiadások" sheetId="5" r:id="rId3"/>
    <sheet name="2.1. Kiadások(KÖT,ÖNV,Áll-i)" sheetId="209" r:id="rId4"/>
    <sheet name="3. Mérleg" sheetId="206" r:id="rId5"/>
    <sheet name="3a Műk.bev.kiad.mérleg" sheetId="196" r:id="rId6"/>
    <sheet name="3b Felhalm.bev.kiad.mérleg" sheetId="195" r:id="rId7"/>
    <sheet name="4. Maradványkimutatás" sheetId="207" r:id="rId8"/>
    <sheet name="5. Pénzeszköz átadás" sheetId="190" r:id="rId9"/>
    <sheet name="6.Felhalmozási k." sheetId="194" r:id="rId10"/>
    <sheet name="7. létszám" sheetId="197" r:id="rId11"/>
    <sheet name="8. Adósságk." sheetId="198" r:id="rId12"/>
    <sheet name="9.VAGYONKIMUTATÁS" sheetId="203" r:id="rId13"/>
  </sheets>
  <externalReferences>
    <externalReference r:id="rId14"/>
    <externalReference r:id="rId15"/>
  </externalReferences>
  <definedNames>
    <definedName name="beruh">'[1]4.1. táj.'!#REF!</definedName>
    <definedName name="intézmények">'[2]4.1. táj.'!#REF!</definedName>
    <definedName name="_xlnm.Print_Titles" localSheetId="0">'1. Bevételek'!$1:$5</definedName>
    <definedName name="_xlnm.Print_Titles" localSheetId="2">'2. Kiadások'!$1:$3</definedName>
    <definedName name="_xlnm.Print_Area" localSheetId="0">'1. Bevételek'!$A$1:$L$57</definedName>
    <definedName name="_xlnm.Print_Area" localSheetId="2">'2. Kiadások'!$A$1:$L$33</definedName>
  </definedNames>
  <calcPr calcId="145621"/>
</workbook>
</file>

<file path=xl/calcChain.xml><?xml version="1.0" encoding="utf-8"?>
<calcChain xmlns="http://schemas.openxmlformats.org/spreadsheetml/2006/main">
  <c r="E32" i="208" l="1"/>
  <c r="I32" i="208"/>
  <c r="Q32" i="208"/>
  <c r="Q30" i="208"/>
  <c r="Q24" i="208"/>
  <c r="Q23" i="208"/>
  <c r="Q56" i="208"/>
  <c r="Q54" i="208"/>
  <c r="Q52" i="208"/>
  <c r="Q49" i="208"/>
  <c r="Q45" i="208"/>
  <c r="Q46" i="208"/>
  <c r="Q44" i="208"/>
  <c r="Q33" i="208"/>
  <c r="Q34" i="208"/>
  <c r="Q35" i="208"/>
  <c r="Q36" i="208"/>
  <c r="Q37" i="208"/>
  <c r="Q38" i="208"/>
  <c r="Q39" i="208"/>
  <c r="Q40" i="208"/>
  <c r="Q41" i="208"/>
  <c r="Q42" i="208"/>
  <c r="Q26" i="208"/>
  <c r="Q27" i="208"/>
  <c r="Q28" i="208"/>
  <c r="Q25" i="208"/>
  <c r="Q21" i="208"/>
  <c r="N21" i="208"/>
  <c r="Q14" i="208"/>
  <c r="Q15" i="208"/>
  <c r="Q16" i="208"/>
  <c r="Q17" i="208"/>
  <c r="Q18" i="208"/>
  <c r="Q13" i="208"/>
  <c r="Q7" i="208"/>
  <c r="Q8" i="208"/>
  <c r="Q9" i="208"/>
  <c r="Q10" i="208"/>
  <c r="Q11" i="208"/>
  <c r="Q6" i="208"/>
  <c r="N27" i="208"/>
  <c r="N28" i="208"/>
  <c r="N26" i="208"/>
  <c r="N24" i="208"/>
  <c r="N14" i="208"/>
  <c r="N15" i="208"/>
  <c r="N16" i="208"/>
  <c r="N17" i="208"/>
  <c r="N18" i="208"/>
  <c r="N13" i="208"/>
  <c r="N7" i="208"/>
  <c r="N8" i="208"/>
  <c r="N9" i="208"/>
  <c r="N10" i="208"/>
  <c r="N11" i="208"/>
  <c r="N6" i="208"/>
  <c r="J57" i="208" l="1"/>
  <c r="K57" i="208"/>
  <c r="L57" i="208"/>
  <c r="M57" i="208"/>
  <c r="N57" i="208"/>
  <c r="P57" i="208"/>
  <c r="Q57" i="208"/>
  <c r="Q55" i="208"/>
  <c r="J55" i="208"/>
  <c r="K55" i="208"/>
  <c r="L55" i="208"/>
  <c r="M55" i="208"/>
  <c r="N55" i="208"/>
  <c r="O55" i="208"/>
  <c r="P55" i="208"/>
  <c r="J53" i="208"/>
  <c r="J58" i="208" s="1"/>
  <c r="K53" i="208"/>
  <c r="K58" i="208" s="1"/>
  <c r="L53" i="208"/>
  <c r="L58" i="208" s="1"/>
  <c r="M53" i="208"/>
  <c r="M58" i="208" s="1"/>
  <c r="N53" i="208"/>
  <c r="N58" i="208" s="1"/>
  <c r="O53" i="208"/>
  <c r="P53" i="208"/>
  <c r="Q53" i="208"/>
  <c r="Q50" i="208"/>
  <c r="J50" i="208"/>
  <c r="K50" i="208"/>
  <c r="L50" i="208"/>
  <c r="M50" i="208"/>
  <c r="N50" i="208"/>
  <c r="O50" i="208"/>
  <c r="P50" i="208"/>
  <c r="J47" i="208"/>
  <c r="K47" i="208"/>
  <c r="L47" i="208"/>
  <c r="M47" i="208"/>
  <c r="N47" i="208"/>
  <c r="O47" i="208"/>
  <c r="P47" i="208"/>
  <c r="Q47" i="208"/>
  <c r="J43" i="208"/>
  <c r="K43" i="208"/>
  <c r="L43" i="208"/>
  <c r="M43" i="208"/>
  <c r="N43" i="208"/>
  <c r="O43" i="208"/>
  <c r="P43" i="208"/>
  <c r="J31" i="208"/>
  <c r="K31" i="208"/>
  <c r="J29" i="208"/>
  <c r="K29" i="208"/>
  <c r="L31" i="208"/>
  <c r="M29" i="208"/>
  <c r="M31" i="208" s="1"/>
  <c r="N29" i="208"/>
  <c r="N31" i="208" s="1"/>
  <c r="O29" i="208"/>
  <c r="O31" i="208" s="1"/>
  <c r="P29" i="208"/>
  <c r="P31" i="208" s="1"/>
  <c r="Q29" i="208"/>
  <c r="Q31" i="208" s="1"/>
  <c r="J23" i="208"/>
  <c r="K23" i="208"/>
  <c r="L23" i="208"/>
  <c r="M23" i="208"/>
  <c r="N23" i="208"/>
  <c r="O23" i="208"/>
  <c r="P23" i="208"/>
  <c r="J22" i="208"/>
  <c r="K22" i="208"/>
  <c r="L22" i="208"/>
  <c r="M22" i="208"/>
  <c r="N22" i="208"/>
  <c r="O22" i="208"/>
  <c r="P22" i="208"/>
  <c r="Q22" i="208"/>
  <c r="J19" i="208"/>
  <c r="K19" i="208"/>
  <c r="L19" i="208"/>
  <c r="M19" i="208"/>
  <c r="N19" i="208"/>
  <c r="O19" i="208"/>
  <c r="P19" i="208"/>
  <c r="Q19" i="208"/>
  <c r="J12" i="208"/>
  <c r="J20" i="208" s="1"/>
  <c r="K12" i="208"/>
  <c r="K20" i="208" s="1"/>
  <c r="L12" i="208"/>
  <c r="M12" i="208"/>
  <c r="M20" i="208" s="1"/>
  <c r="N12" i="208"/>
  <c r="O12" i="208"/>
  <c r="P12" i="208"/>
  <c r="P20" i="208" s="1"/>
  <c r="Q12" i="208"/>
  <c r="Q20" i="208" s="1"/>
  <c r="Q58" i="208" l="1"/>
  <c r="L20" i="208"/>
  <c r="N20" i="208"/>
  <c r="N51" i="208" s="1"/>
  <c r="N59" i="208" s="1"/>
  <c r="M51" i="208"/>
  <c r="M59" i="208" s="1"/>
  <c r="L51" i="208"/>
  <c r="L59" i="208" s="1"/>
  <c r="K51" i="208"/>
  <c r="K59" i="208" s="1"/>
  <c r="J51" i="208"/>
  <c r="J59" i="208" s="1"/>
  <c r="P58" i="208"/>
  <c r="O58" i="208"/>
  <c r="P51" i="208"/>
  <c r="O20" i="208"/>
  <c r="O51" i="208" s="1"/>
  <c r="O59" i="208" s="1"/>
  <c r="K29" i="209"/>
  <c r="L29" i="209"/>
  <c r="M29" i="209"/>
  <c r="N29" i="209"/>
  <c r="J29" i="209"/>
  <c r="P59" i="208" l="1"/>
  <c r="K22" i="209"/>
  <c r="L22" i="209"/>
  <c r="M22" i="209"/>
  <c r="N22" i="209"/>
  <c r="J22" i="209"/>
  <c r="K16" i="209"/>
  <c r="L16" i="209"/>
  <c r="M16" i="209"/>
  <c r="N16" i="209"/>
  <c r="J16" i="209"/>
  <c r="I12" i="209"/>
  <c r="H12" i="209"/>
  <c r="G12" i="209"/>
  <c r="F12" i="209"/>
  <c r="E12" i="209"/>
  <c r="J8" i="209"/>
  <c r="K8" i="209"/>
  <c r="L8" i="209"/>
  <c r="M8" i="209"/>
  <c r="N8" i="209"/>
  <c r="Q13" i="209"/>
  <c r="Q43" i="208" l="1"/>
  <c r="Q51" i="208" s="1"/>
  <c r="Q59" i="208" s="1"/>
  <c r="Q32" i="209"/>
  <c r="Q33" i="209"/>
  <c r="Q34" i="209"/>
  <c r="Q28" i="209"/>
  <c r="Q26" i="209"/>
  <c r="Q27" i="209"/>
  <c r="Q23" i="209"/>
  <c r="Q24" i="209"/>
  <c r="Q25" i="209"/>
  <c r="Q21" i="209"/>
  <c r="Q19" i="209"/>
  <c r="Q20" i="209"/>
  <c r="Q18" i="209"/>
  <c r="Q17" i="209"/>
  <c r="Q10" i="209"/>
  <c r="Q11" i="209"/>
  <c r="Q12" i="209"/>
  <c r="Q14" i="209"/>
  <c r="Q15" i="209"/>
  <c r="Q9" i="209"/>
  <c r="Q7" i="209"/>
  <c r="N35" i="209"/>
  <c r="Q35" i="209" s="1"/>
  <c r="O35" i="209"/>
  <c r="P35" i="209"/>
  <c r="J31" i="209"/>
  <c r="J35" i="209" s="1"/>
  <c r="K31" i="209"/>
  <c r="K35" i="209" s="1"/>
  <c r="L31" i="209"/>
  <c r="L35" i="209" s="1"/>
  <c r="M31" i="209"/>
  <c r="M35" i="209" s="1"/>
  <c r="N31" i="209"/>
  <c r="Q31" i="209" s="1"/>
  <c r="O31" i="209"/>
  <c r="P31" i="209"/>
  <c r="J30" i="209"/>
  <c r="K30" i="209"/>
  <c r="L30" i="209"/>
  <c r="M30" i="209"/>
  <c r="N30" i="209"/>
  <c r="P29" i="209"/>
  <c r="O29" i="209"/>
  <c r="P16" i="209"/>
  <c r="P30" i="209" s="1"/>
  <c r="O16" i="209"/>
  <c r="O30" i="209" s="1"/>
  <c r="O36" i="209" s="1"/>
  <c r="P8" i="209"/>
  <c r="O8" i="209"/>
  <c r="N7" i="209"/>
  <c r="N6" i="209"/>
  <c r="Q6" i="209" s="1"/>
  <c r="Q8" i="209" s="1"/>
  <c r="N36" i="209" l="1"/>
  <c r="M36" i="209"/>
  <c r="L36" i="209"/>
  <c r="K36" i="209"/>
  <c r="J36" i="209"/>
  <c r="P36" i="209"/>
  <c r="J34" i="195"/>
  <c r="K34" i="195"/>
  <c r="L34" i="195"/>
  <c r="L32" i="195" l="1"/>
  <c r="L18" i="195"/>
  <c r="M18" i="195"/>
  <c r="M32" i="195" s="1"/>
  <c r="M34" i="195" s="1"/>
  <c r="K18" i="195"/>
  <c r="K32" i="195" s="1"/>
  <c r="M29" i="196" l="1"/>
  <c r="M27" i="196"/>
  <c r="K26" i="196"/>
  <c r="L26" i="196"/>
  <c r="M26" i="196"/>
  <c r="K17" i="196"/>
  <c r="K27" i="196" s="1"/>
  <c r="K29" i="196" s="1"/>
  <c r="L17" i="196"/>
  <c r="L27" i="196" s="1"/>
  <c r="L29" i="196" s="1"/>
  <c r="M17" i="196"/>
  <c r="N9" i="196"/>
  <c r="O9" i="196"/>
  <c r="D31" i="195"/>
  <c r="E31" i="195"/>
  <c r="F31" i="195"/>
  <c r="D18" i="195"/>
  <c r="E18" i="195"/>
  <c r="E32" i="195" s="1"/>
  <c r="E34" i="195" s="1"/>
  <c r="F18" i="195"/>
  <c r="D32" i="195" l="1"/>
  <c r="D34" i="195" s="1"/>
  <c r="F32" i="195"/>
  <c r="F34" i="195" s="1"/>
  <c r="F18" i="196"/>
  <c r="F26" i="196" s="1"/>
  <c r="D18" i="196"/>
  <c r="D26" i="196" s="1"/>
  <c r="E18" i="196"/>
  <c r="E26" i="196" s="1"/>
  <c r="D17" i="196" l="1"/>
  <c r="D27" i="196" s="1"/>
  <c r="D29" i="196" s="1"/>
  <c r="E17" i="196"/>
  <c r="E27" i="196" s="1"/>
  <c r="E29" i="196" s="1"/>
  <c r="F17" i="196"/>
  <c r="F27" i="196" s="1"/>
  <c r="F29" i="196" s="1"/>
  <c r="I46" i="190" l="1"/>
  <c r="H46" i="190"/>
  <c r="G46" i="190"/>
  <c r="F46" i="190"/>
  <c r="E46" i="190"/>
  <c r="D46" i="190"/>
  <c r="I45" i="190"/>
  <c r="H45" i="190"/>
  <c r="G45" i="190"/>
  <c r="D45" i="190"/>
  <c r="G32" i="190"/>
  <c r="D40" i="190"/>
  <c r="I32" i="190"/>
  <c r="I40" i="190" s="1"/>
  <c r="H32" i="190"/>
  <c r="H40" i="190" s="1"/>
  <c r="E30" i="190"/>
  <c r="F30" i="190"/>
  <c r="G30" i="190"/>
  <c r="F28" i="190"/>
  <c r="G28" i="190"/>
  <c r="G40" i="190" s="1"/>
  <c r="E32" i="190"/>
  <c r="F32" i="190"/>
  <c r="E44" i="190"/>
  <c r="F44" i="190"/>
  <c r="G44" i="190"/>
  <c r="E25" i="190"/>
  <c r="E20" i="190"/>
  <c r="F20" i="190"/>
  <c r="F25" i="190" s="1"/>
  <c r="G20" i="190"/>
  <c r="G25" i="190" s="1"/>
  <c r="E24" i="190"/>
  <c r="F24" i="190"/>
  <c r="G24" i="190"/>
  <c r="F40" i="190" l="1"/>
  <c r="F45" i="190" s="1"/>
  <c r="E40" i="190"/>
  <c r="E45" i="190" s="1"/>
  <c r="G21" i="194"/>
  <c r="H72" i="194"/>
  <c r="I72" i="194"/>
  <c r="J72" i="194"/>
  <c r="K72" i="194"/>
  <c r="L72" i="194"/>
  <c r="G72" i="194"/>
  <c r="G71" i="194" l="1"/>
  <c r="H71" i="194" l="1"/>
  <c r="I71" i="194"/>
  <c r="J71" i="194"/>
  <c r="K71" i="194"/>
  <c r="L71" i="194"/>
  <c r="H65" i="194"/>
  <c r="I65" i="194"/>
  <c r="K65" i="194"/>
  <c r="L65" i="194"/>
  <c r="G65" i="194"/>
  <c r="L54" i="194"/>
  <c r="K54" i="194"/>
  <c r="L52" i="194"/>
  <c r="K52" i="194"/>
  <c r="L55" i="194"/>
  <c r="K55" i="194"/>
  <c r="G49" i="194" l="1"/>
  <c r="L33" i="194"/>
  <c r="K33" i="194"/>
  <c r="H49" i="194" l="1"/>
  <c r="I49" i="194"/>
  <c r="K49" i="194"/>
  <c r="L49" i="194"/>
  <c r="H21" i="194"/>
  <c r="I21" i="194"/>
  <c r="K21" i="194"/>
  <c r="L21" i="194"/>
  <c r="K15" i="194" l="1"/>
  <c r="K16" i="194"/>
  <c r="K17" i="194"/>
  <c r="K18" i="194"/>
  <c r="K19" i="194"/>
  <c r="K20" i="194"/>
  <c r="K14" i="194"/>
  <c r="H14" i="194"/>
  <c r="I14" i="194"/>
  <c r="J14" i="194"/>
  <c r="J59" i="194" l="1"/>
  <c r="J64" i="194"/>
  <c r="J51" i="194"/>
  <c r="J10" i="194"/>
  <c r="J22" i="194"/>
  <c r="J21" i="194" s="1"/>
  <c r="J27" i="194"/>
  <c r="J48" i="194"/>
  <c r="J65" i="194" l="1"/>
  <c r="J49" i="194"/>
  <c r="E178" i="203" l="1"/>
  <c r="D176" i="203"/>
  <c r="D171" i="203"/>
  <c r="C169" i="203"/>
  <c r="C165" i="203"/>
  <c r="D161" i="203"/>
  <c r="E153" i="203"/>
  <c r="E151" i="203"/>
  <c r="D144" i="203"/>
  <c r="B124" i="203"/>
  <c r="B128" i="203"/>
  <c r="B126" i="203"/>
  <c r="B127" i="203"/>
  <c r="B123" i="203"/>
  <c r="B122" i="203"/>
  <c r="B121" i="203"/>
  <c r="C130" i="203"/>
  <c r="C120" i="203" l="1"/>
  <c r="D135" i="203" s="1"/>
  <c r="E146" i="203" s="1"/>
  <c r="C99" i="203" l="1"/>
  <c r="E95" i="203"/>
  <c r="D89" i="203"/>
  <c r="C73" i="203"/>
  <c r="B73" i="203"/>
  <c r="D67" i="203"/>
  <c r="D59" i="203"/>
  <c r="D71" i="203"/>
  <c r="D73" i="203" l="1"/>
  <c r="B52" i="203" l="1"/>
  <c r="D14" i="203" l="1"/>
  <c r="E62" i="206" l="1"/>
  <c r="E61" i="206"/>
  <c r="E58" i="206"/>
  <c r="E57" i="206"/>
  <c r="E54" i="206"/>
  <c r="E51" i="206"/>
  <c r="E45" i="206"/>
  <c r="E42" i="206"/>
  <c r="E41" i="206"/>
  <c r="E39" i="206"/>
  <c r="E37" i="206"/>
  <c r="E36" i="206"/>
  <c r="E30" i="206"/>
  <c r="E21" i="206" l="1"/>
  <c r="E19" i="206"/>
  <c r="E22" i="206" s="1"/>
  <c r="E16" i="206"/>
  <c r="E13" i="206"/>
  <c r="E10" i="206"/>
  <c r="E6" i="206"/>
  <c r="E17" i="206" l="1"/>
  <c r="D18" i="207"/>
  <c r="D16" i="207"/>
  <c r="D15" i="207"/>
  <c r="D14" i="207"/>
  <c r="D11" i="207"/>
  <c r="E12" i="198" l="1"/>
  <c r="E11" i="198" l="1"/>
  <c r="E9" i="198" l="1"/>
  <c r="H34" i="209" l="1"/>
  <c r="H33" i="209"/>
  <c r="H32" i="209"/>
  <c r="H31" i="209" s="1"/>
  <c r="I31" i="209"/>
  <c r="I35" i="209" s="1"/>
  <c r="G31" i="209"/>
  <c r="G35" i="209" s="1"/>
  <c r="F31" i="209"/>
  <c r="F35" i="209" s="1"/>
  <c r="E31" i="209"/>
  <c r="E35" i="209" s="1"/>
  <c r="I29" i="209"/>
  <c r="Q29" i="209" s="1"/>
  <c r="G29" i="209"/>
  <c r="F29" i="209"/>
  <c r="E29" i="209"/>
  <c r="H27" i="209"/>
  <c r="H26" i="209"/>
  <c r="H25" i="209"/>
  <c r="H24" i="209"/>
  <c r="H23" i="209"/>
  <c r="I22" i="209"/>
  <c r="Q22" i="209" s="1"/>
  <c r="G22" i="209"/>
  <c r="F22" i="209"/>
  <c r="E22" i="209"/>
  <c r="H21" i="209"/>
  <c r="H20" i="209"/>
  <c r="H19" i="209"/>
  <c r="H18" i="209"/>
  <c r="H17" i="209"/>
  <c r="I16" i="209"/>
  <c r="Q16" i="209" s="1"/>
  <c r="G16" i="209"/>
  <c r="F16" i="209"/>
  <c r="E16" i="209"/>
  <c r="H15" i="209"/>
  <c r="H14" i="209"/>
  <c r="H11" i="209"/>
  <c r="H10" i="209"/>
  <c r="H9" i="209"/>
  <c r="I8" i="209"/>
  <c r="G8" i="209"/>
  <c r="F8" i="209"/>
  <c r="E8" i="209"/>
  <c r="H7" i="209"/>
  <c r="H6" i="209"/>
  <c r="H8" i="209" l="1"/>
  <c r="H16" i="209"/>
  <c r="I30" i="209"/>
  <c r="E30" i="209"/>
  <c r="E36" i="209" s="1"/>
  <c r="H22" i="209"/>
  <c r="F30" i="209"/>
  <c r="F36" i="209" s="1"/>
  <c r="H29" i="209"/>
  <c r="G30" i="209"/>
  <c r="G36" i="209" s="1"/>
  <c r="H35" i="209"/>
  <c r="I57" i="208"/>
  <c r="G57" i="208"/>
  <c r="F57" i="208"/>
  <c r="H57" i="208" s="1"/>
  <c r="E57" i="208"/>
  <c r="H56" i="208"/>
  <c r="I55" i="208"/>
  <c r="G55" i="208"/>
  <c r="F55" i="208"/>
  <c r="E55" i="208"/>
  <c r="H54" i="208"/>
  <c r="I53" i="208"/>
  <c r="I58" i="208" s="1"/>
  <c r="G53" i="208"/>
  <c r="F53" i="208"/>
  <c r="E53" i="208"/>
  <c r="H52" i="208"/>
  <c r="I50" i="208"/>
  <c r="G50" i="208"/>
  <c r="F50" i="208"/>
  <c r="E50" i="208"/>
  <c r="H49" i="208"/>
  <c r="I47" i="208"/>
  <c r="G47" i="208"/>
  <c r="F47" i="208"/>
  <c r="E47" i="208"/>
  <c r="H46" i="208"/>
  <c r="H45" i="208"/>
  <c r="H44" i="208"/>
  <c r="I43" i="208"/>
  <c r="G43" i="208"/>
  <c r="F43" i="208"/>
  <c r="E43" i="208"/>
  <c r="H41" i="208"/>
  <c r="H39" i="208"/>
  <c r="H38" i="208"/>
  <c r="H37" i="208"/>
  <c r="H36" i="208"/>
  <c r="H35" i="208"/>
  <c r="H34" i="208"/>
  <c r="H33" i="208"/>
  <c r="H32" i="208"/>
  <c r="H30" i="208"/>
  <c r="I29" i="208"/>
  <c r="I31" i="208" s="1"/>
  <c r="G29" i="208"/>
  <c r="G31" i="208" s="1"/>
  <c r="F29" i="208"/>
  <c r="F31" i="208" s="1"/>
  <c r="E29" i="208"/>
  <c r="H28" i="208"/>
  <c r="H27" i="208"/>
  <c r="H26" i="208"/>
  <c r="H25" i="208"/>
  <c r="H24" i="208"/>
  <c r="I23" i="208"/>
  <c r="G23" i="208"/>
  <c r="F23" i="208"/>
  <c r="E23" i="208"/>
  <c r="I22" i="208"/>
  <c r="E22" i="208"/>
  <c r="H21" i="208"/>
  <c r="I19" i="208"/>
  <c r="G19" i="208"/>
  <c r="F19" i="208"/>
  <c r="E19" i="208"/>
  <c r="H18" i="208"/>
  <c r="H17" i="208"/>
  <c r="H16" i="208"/>
  <c r="H15" i="208"/>
  <c r="H14" i="208"/>
  <c r="H13" i="208"/>
  <c r="I12" i="208"/>
  <c r="G12" i="208"/>
  <c r="G20" i="208" s="1"/>
  <c r="F12" i="208"/>
  <c r="E12" i="208"/>
  <c r="H11" i="208"/>
  <c r="H10" i="208"/>
  <c r="H9" i="208"/>
  <c r="H8" i="208"/>
  <c r="H7" i="208"/>
  <c r="H6" i="208"/>
  <c r="H29" i="208" l="1"/>
  <c r="E58" i="208"/>
  <c r="F58" i="208"/>
  <c r="F20" i="208"/>
  <c r="F51" i="208" s="1"/>
  <c r="F59" i="208" s="1"/>
  <c r="H19" i="208"/>
  <c r="H43" i="208"/>
  <c r="H55" i="208"/>
  <c r="H47" i="208"/>
  <c r="H12" i="208"/>
  <c r="E20" i="208"/>
  <c r="H22" i="208"/>
  <c r="H23" i="208"/>
  <c r="H50" i="208"/>
  <c r="G58" i="208"/>
  <c r="I36" i="209"/>
  <c r="Q36" i="209" s="1"/>
  <c r="Q30" i="209"/>
  <c r="H30" i="209"/>
  <c r="H36" i="209" s="1"/>
  <c r="G51" i="208"/>
  <c r="I20" i="208"/>
  <c r="H53" i="208"/>
  <c r="E31" i="208"/>
  <c r="H30" i="5"/>
  <c r="H31" i="5"/>
  <c r="H29" i="5"/>
  <c r="H28" i="5" s="1"/>
  <c r="H32" i="5" s="1"/>
  <c r="H24" i="5"/>
  <c r="H25" i="5"/>
  <c r="H23" i="5"/>
  <c r="H26" i="5" s="1"/>
  <c r="H22" i="5"/>
  <c r="H21" i="5"/>
  <c r="H20" i="5"/>
  <c r="H17" i="5"/>
  <c r="H18" i="5"/>
  <c r="H16" i="5"/>
  <c r="H19" i="5" s="1"/>
  <c r="H15" i="5"/>
  <c r="H14" i="5"/>
  <c r="H9" i="5"/>
  <c r="H10" i="5"/>
  <c r="H11" i="5"/>
  <c r="H12" i="5"/>
  <c r="H8" i="5"/>
  <c r="H7" i="5"/>
  <c r="H5" i="5"/>
  <c r="H6" i="5" s="1"/>
  <c r="H4" i="5"/>
  <c r="E33" i="5"/>
  <c r="F32" i="5"/>
  <c r="F28" i="5"/>
  <c r="G28" i="5"/>
  <c r="G32" i="5" s="1"/>
  <c r="F26" i="5"/>
  <c r="G26" i="5"/>
  <c r="F19" i="5"/>
  <c r="G19" i="5"/>
  <c r="F13" i="5"/>
  <c r="G13" i="5"/>
  <c r="F6" i="5"/>
  <c r="G6" i="5"/>
  <c r="K31" i="41"/>
  <c r="H58" i="208" l="1"/>
  <c r="E51" i="208"/>
  <c r="E59" i="208" s="1"/>
  <c r="G59" i="208"/>
  <c r="H31" i="208"/>
  <c r="H20" i="208"/>
  <c r="I51" i="208"/>
  <c r="H13" i="5"/>
  <c r="H27" i="5"/>
  <c r="H33" i="5" s="1"/>
  <c r="G27" i="5"/>
  <c r="G33" i="5" s="1"/>
  <c r="F27" i="5"/>
  <c r="F33" i="5" s="1"/>
  <c r="H24" i="41"/>
  <c r="H56" i="41"/>
  <c r="H55" i="41"/>
  <c r="H54" i="41"/>
  <c r="H53" i="41"/>
  <c r="H52" i="41"/>
  <c r="H51" i="41"/>
  <c r="H50" i="41"/>
  <c r="H48" i="41"/>
  <c r="H47" i="41"/>
  <c r="H45" i="41"/>
  <c r="H43" i="41"/>
  <c r="H44" i="41"/>
  <c r="H42" i="41"/>
  <c r="H31" i="41"/>
  <c r="H32" i="41"/>
  <c r="H33" i="41"/>
  <c r="H34" i="41"/>
  <c r="H35" i="41"/>
  <c r="H36" i="41"/>
  <c r="H37" i="41"/>
  <c r="H38" i="41"/>
  <c r="H39" i="41"/>
  <c r="H30" i="41"/>
  <c r="H29" i="41"/>
  <c r="H28" i="41"/>
  <c r="H27" i="41"/>
  <c r="H26" i="41"/>
  <c r="H25" i="41"/>
  <c r="H23" i="41"/>
  <c r="H22" i="41"/>
  <c r="H21" i="41"/>
  <c r="H20" i="41"/>
  <c r="H19" i="41"/>
  <c r="H12" i="41"/>
  <c r="H13" i="41"/>
  <c r="H14" i="41"/>
  <c r="H15" i="41"/>
  <c r="H16" i="41"/>
  <c r="H11" i="41"/>
  <c r="H51" i="208" l="1"/>
  <c r="I59" i="208"/>
  <c r="H59" i="208" s="1"/>
  <c r="H10" i="41"/>
  <c r="H5" i="41"/>
  <c r="H6" i="41"/>
  <c r="H7" i="41"/>
  <c r="H8" i="41"/>
  <c r="H9" i="41"/>
  <c r="H4" i="41"/>
  <c r="G55" i="41" l="1"/>
  <c r="G53" i="41"/>
  <c r="G51" i="41"/>
  <c r="G56" i="41" s="1"/>
  <c r="G48" i="41"/>
  <c r="G45" i="41"/>
  <c r="G41" i="41"/>
  <c r="G27" i="41"/>
  <c r="G29" i="41" s="1"/>
  <c r="G21" i="41"/>
  <c r="G18" i="41"/>
  <c r="G17" i="41"/>
  <c r="G10" i="41"/>
  <c r="G49" i="41" l="1"/>
  <c r="G57" i="41" s="1"/>
  <c r="F55" i="41"/>
  <c r="F53" i="41"/>
  <c r="F51" i="41"/>
  <c r="F48" i="41"/>
  <c r="F45" i="41"/>
  <c r="F41" i="41"/>
  <c r="F27" i="41"/>
  <c r="F29" i="41" s="1"/>
  <c r="F21" i="41"/>
  <c r="F17" i="41"/>
  <c r="F10" i="41"/>
  <c r="F18" i="41" s="1"/>
  <c r="F56" i="41" l="1"/>
  <c r="F49" i="41"/>
  <c r="F57" i="41" s="1"/>
  <c r="I14" i="190"/>
  <c r="I16" i="190"/>
  <c r="G10" i="198" l="1"/>
  <c r="F10" i="198"/>
  <c r="E10" i="198" s="1"/>
  <c r="E13" i="198" s="1"/>
  <c r="E14" i="198" s="1"/>
  <c r="D10" i="198"/>
  <c r="K11" i="5"/>
  <c r="L28" i="5"/>
  <c r="L32" i="5" s="1"/>
  <c r="L26" i="5"/>
  <c r="L19" i="5"/>
  <c r="L13" i="5"/>
  <c r="L6" i="5"/>
  <c r="K19" i="41"/>
  <c r="K15" i="41"/>
  <c r="K14" i="41"/>
  <c r="I17" i="41"/>
  <c r="H17" i="41" s="1"/>
  <c r="E17" i="41"/>
  <c r="L27" i="5" l="1"/>
  <c r="L33" i="5" s="1"/>
  <c r="L55" i="41"/>
  <c r="L53" i="41"/>
  <c r="L51" i="41"/>
  <c r="L48" i="41"/>
  <c r="L45" i="41"/>
  <c r="L41" i="41"/>
  <c r="L27" i="41"/>
  <c r="L29" i="41" s="1"/>
  <c r="L21" i="41"/>
  <c r="L20" i="41"/>
  <c r="L17" i="41"/>
  <c r="L5" i="41"/>
  <c r="L10" i="41" s="1"/>
  <c r="L56" i="41" l="1"/>
  <c r="L18" i="41"/>
  <c r="L49" i="41" s="1"/>
  <c r="L57" i="41" s="1"/>
  <c r="H13" i="190"/>
  <c r="D30" i="190" l="1"/>
  <c r="I30" i="190"/>
  <c r="H11" i="196" l="1"/>
  <c r="K37" i="41"/>
  <c r="O31" i="195" l="1"/>
  <c r="J9" i="196"/>
  <c r="N10" i="195"/>
  <c r="O10" i="195"/>
  <c r="J10" i="195"/>
  <c r="N7" i="195"/>
  <c r="O7" i="195"/>
  <c r="J7" i="195"/>
  <c r="N5" i="195"/>
  <c r="O5" i="195"/>
  <c r="J5" i="195"/>
  <c r="G5" i="195"/>
  <c r="H5" i="195"/>
  <c r="N25" i="196"/>
  <c r="N26" i="196" s="1"/>
  <c r="O25" i="196"/>
  <c r="O26" i="196" s="1"/>
  <c r="J25" i="196"/>
  <c r="J26" i="196" s="1"/>
  <c r="N10" i="196"/>
  <c r="J10" i="196"/>
  <c r="N8" i="196"/>
  <c r="O8" i="196"/>
  <c r="J8" i="196"/>
  <c r="N6" i="196"/>
  <c r="O6" i="196"/>
  <c r="J6" i="196"/>
  <c r="G9" i="196"/>
  <c r="C9" i="196"/>
  <c r="K30" i="5"/>
  <c r="E48" i="41"/>
  <c r="C6" i="195" s="1"/>
  <c r="K39" i="41"/>
  <c r="K24" i="41"/>
  <c r="K25" i="41"/>
  <c r="J17" i="41"/>
  <c r="K17" i="41" s="1"/>
  <c r="J5" i="41"/>
  <c r="K8" i="41"/>
  <c r="K9" i="41"/>
  <c r="K4" i="41"/>
  <c r="I10" i="41"/>
  <c r="G8" i="196" s="1"/>
  <c r="E10" i="41"/>
  <c r="C8" i="196" s="1"/>
  <c r="C114" i="203"/>
  <c r="E118" i="203" s="1"/>
  <c r="E83" i="203"/>
  <c r="E77" i="203"/>
  <c r="C52" i="203"/>
  <c r="D52" i="203" s="1"/>
  <c r="E16" i="203" s="1"/>
  <c r="D9" i="203"/>
  <c r="I28" i="5"/>
  <c r="I32" i="5" s="1"/>
  <c r="J28" i="5"/>
  <c r="J32" i="5" s="1"/>
  <c r="E28" i="5"/>
  <c r="E32" i="5" s="1"/>
  <c r="K25" i="5"/>
  <c r="K20" i="5"/>
  <c r="K22" i="5"/>
  <c r="K17" i="5"/>
  <c r="K18" i="5"/>
  <c r="K16" i="5"/>
  <c r="K15" i="5"/>
  <c r="K14" i="5"/>
  <c r="K9" i="5"/>
  <c r="K10" i="5"/>
  <c r="K12" i="5"/>
  <c r="K8" i="5"/>
  <c r="K7" i="5"/>
  <c r="K5" i="5"/>
  <c r="K4" i="5"/>
  <c r="I21" i="41"/>
  <c r="J21" i="41"/>
  <c r="E21" i="41"/>
  <c r="K54" i="41"/>
  <c r="K55" i="41" s="1"/>
  <c r="K52" i="41"/>
  <c r="K53" i="41" s="1"/>
  <c r="K48" i="41"/>
  <c r="K45" i="41"/>
  <c r="K42" i="41"/>
  <c r="K33" i="41"/>
  <c r="K34" i="41"/>
  <c r="K35" i="41"/>
  <c r="K41" i="41"/>
  <c r="K30" i="41"/>
  <c r="K28" i="41"/>
  <c r="K29" i="41" s="1"/>
  <c r="K23" i="41"/>
  <c r="K6" i="41"/>
  <c r="K7" i="41"/>
  <c r="K20" i="41"/>
  <c r="I19" i="5"/>
  <c r="J55" i="41"/>
  <c r="I55" i="41"/>
  <c r="E55" i="41"/>
  <c r="I45" i="41"/>
  <c r="J45" i="41"/>
  <c r="E45" i="41"/>
  <c r="I20" i="41"/>
  <c r="G13" i="195" s="1"/>
  <c r="J20" i="41"/>
  <c r="H13" i="195" s="1"/>
  <c r="E20" i="41"/>
  <c r="C13" i="195" s="1"/>
  <c r="I48" i="41"/>
  <c r="G6" i="195" s="1"/>
  <c r="J48" i="41"/>
  <c r="H6" i="195" s="1"/>
  <c r="I18" i="41"/>
  <c r="H18" i="41" s="1"/>
  <c r="J19" i="5"/>
  <c r="E19" i="5"/>
  <c r="I13" i="190"/>
  <c r="D13" i="190"/>
  <c r="H42" i="190"/>
  <c r="H44" i="190" s="1"/>
  <c r="I42" i="190"/>
  <c r="I44" i="190" s="1"/>
  <c r="D42" i="190"/>
  <c r="D44" i="190" s="1"/>
  <c r="N31" i="195"/>
  <c r="G25" i="195"/>
  <c r="H25" i="195"/>
  <c r="G19" i="195"/>
  <c r="H19" i="195"/>
  <c r="I28" i="190"/>
  <c r="I22" i="190"/>
  <c r="I24" i="190" s="1"/>
  <c r="I18" i="190"/>
  <c r="I11" i="190"/>
  <c r="H28" i="190"/>
  <c r="H22" i="190"/>
  <c r="H24" i="190" s="1"/>
  <c r="H18" i="190"/>
  <c r="H20" i="190" s="1"/>
  <c r="I26" i="5"/>
  <c r="N8" i="195" s="1"/>
  <c r="J26" i="5"/>
  <c r="O8" i="195" s="1"/>
  <c r="I13" i="5"/>
  <c r="N7" i="196" s="1"/>
  <c r="J13" i="5"/>
  <c r="O7" i="196" s="1"/>
  <c r="I6" i="5"/>
  <c r="N5" i="196" s="1"/>
  <c r="J6" i="5"/>
  <c r="O5" i="196" s="1"/>
  <c r="E26" i="5"/>
  <c r="J8" i="195" s="1"/>
  <c r="E13" i="5"/>
  <c r="J7" i="196" s="1"/>
  <c r="E6" i="5"/>
  <c r="J5" i="196" s="1"/>
  <c r="I53" i="41"/>
  <c r="J53" i="41"/>
  <c r="I51" i="41"/>
  <c r="J51" i="41"/>
  <c r="I41" i="41"/>
  <c r="G6" i="196" s="1"/>
  <c r="J41" i="41"/>
  <c r="H6" i="196" s="1"/>
  <c r="I27" i="41"/>
  <c r="I29" i="41" s="1"/>
  <c r="F13" i="198" s="1"/>
  <c r="F14" i="198" s="1"/>
  <c r="J27" i="41"/>
  <c r="E53" i="41"/>
  <c r="E51" i="41"/>
  <c r="C20" i="196" s="1"/>
  <c r="E41" i="41"/>
  <c r="E27" i="41"/>
  <c r="E29" i="41" s="1"/>
  <c r="C12" i="197"/>
  <c r="J31" i="195"/>
  <c r="C25" i="195"/>
  <c r="C19" i="195"/>
  <c r="C23" i="196"/>
  <c r="D32" i="190"/>
  <c r="D11" i="190"/>
  <c r="D18" i="190"/>
  <c r="D22" i="190"/>
  <c r="D24" i="190" s="1"/>
  <c r="C6" i="196" l="1"/>
  <c r="H41" i="41"/>
  <c r="G31" i="195"/>
  <c r="C31" i="195"/>
  <c r="H31" i="195"/>
  <c r="D20" i="190"/>
  <c r="D25" i="190" s="1"/>
  <c r="I20" i="190"/>
  <c r="H18" i="195"/>
  <c r="C18" i="195"/>
  <c r="K19" i="5"/>
  <c r="E18" i="41"/>
  <c r="E49" i="41" s="1"/>
  <c r="O18" i="195"/>
  <c r="O32" i="195" s="1"/>
  <c r="O34" i="195" s="1"/>
  <c r="I56" i="41"/>
  <c r="D13" i="198"/>
  <c r="D14" i="198" s="1"/>
  <c r="N18" i="195"/>
  <c r="N32" i="195" s="1"/>
  <c r="N34" i="195" s="1"/>
  <c r="O17" i="196"/>
  <c r="J56" i="41"/>
  <c r="G18" i="195"/>
  <c r="E5" i="203"/>
  <c r="J10" i="41"/>
  <c r="H8" i="196" s="1"/>
  <c r="C5" i="196"/>
  <c r="C17" i="196" s="1"/>
  <c r="C30" i="196" s="1"/>
  <c r="G5" i="196"/>
  <c r="G17" i="196" s="1"/>
  <c r="H9" i="196"/>
  <c r="N17" i="196"/>
  <c r="J18" i="195"/>
  <c r="J32" i="195" s="1"/>
  <c r="J17" i="196"/>
  <c r="H20" i="196"/>
  <c r="G20" i="196"/>
  <c r="E56" i="41"/>
  <c r="C18" i="196" s="1"/>
  <c r="C26" i="196" s="1"/>
  <c r="K32" i="5"/>
  <c r="K26" i="5"/>
  <c r="I27" i="5"/>
  <c r="I33" i="5" s="1"/>
  <c r="E27" i="5"/>
  <c r="K13" i="5"/>
  <c r="K6" i="5"/>
  <c r="K27" i="41"/>
  <c r="I49" i="41"/>
  <c r="H25" i="190"/>
  <c r="I25" i="190"/>
  <c r="J27" i="5"/>
  <c r="J29" i="41"/>
  <c r="H49" i="41" l="1"/>
  <c r="H32" i="195"/>
  <c r="H34" i="195" s="1"/>
  <c r="J36" i="195"/>
  <c r="J35" i="195"/>
  <c r="C32" i="195"/>
  <c r="C34" i="195" s="1"/>
  <c r="G36" i="195"/>
  <c r="G35" i="195"/>
  <c r="H36" i="195"/>
  <c r="O35" i="195"/>
  <c r="H35" i="195"/>
  <c r="O36" i="195"/>
  <c r="G18" i="196"/>
  <c r="G26" i="196" s="1"/>
  <c r="G27" i="196" s="1"/>
  <c r="G29" i="196" s="1"/>
  <c r="K56" i="41"/>
  <c r="I57" i="41"/>
  <c r="G32" i="195"/>
  <c r="G34" i="195" s="1"/>
  <c r="J18" i="41"/>
  <c r="J49" i="41" s="1"/>
  <c r="J57" i="41" s="1"/>
  <c r="K10" i="41"/>
  <c r="O27" i="196"/>
  <c r="O29" i="196" s="1"/>
  <c r="N27" i="196"/>
  <c r="N29" i="196" s="1"/>
  <c r="H18" i="196"/>
  <c r="C27" i="196"/>
  <c r="C29" i="196" s="1"/>
  <c r="G13" i="198"/>
  <c r="G14" i="198" s="1"/>
  <c r="H5" i="196"/>
  <c r="H17" i="196" s="1"/>
  <c r="O30" i="196" s="1"/>
  <c r="E57" i="41"/>
  <c r="C35" i="195"/>
  <c r="C36" i="195"/>
  <c r="J27" i="196"/>
  <c r="J29" i="196" s="1"/>
  <c r="E91" i="203"/>
  <c r="K27" i="5"/>
  <c r="J33" i="5"/>
  <c r="K33" i="5" s="1"/>
  <c r="H57" i="41" l="1"/>
  <c r="H26" i="196"/>
  <c r="H30" i="196"/>
  <c r="C31" i="196"/>
  <c r="K57" i="41"/>
  <c r="K18" i="41"/>
  <c r="N31" i="196"/>
  <c r="H27" i="196"/>
  <c r="H29" i="196" s="1"/>
  <c r="H31" i="196" s="1"/>
  <c r="K49" i="41"/>
  <c r="J6" i="194"/>
</calcChain>
</file>

<file path=xl/sharedStrings.xml><?xml version="1.0" encoding="utf-8"?>
<sst xmlns="http://schemas.openxmlformats.org/spreadsheetml/2006/main" count="1224" uniqueCount="738">
  <si>
    <t>Működési bevételek</t>
  </si>
  <si>
    <t>Személyi juttatások</t>
  </si>
  <si>
    <t>Felújítási kiadások</t>
  </si>
  <si>
    <t>Ingatlanok felújítása</t>
  </si>
  <si>
    <t>Háztartásoknak</t>
  </si>
  <si>
    <t>Működési célú pénzeszközátadások összesen</t>
  </si>
  <si>
    <t>Költségvetési kiadások összesen:</t>
  </si>
  <si>
    <t>Közhatalmi bevételek</t>
  </si>
  <si>
    <t>Kölcsön nyújtása</t>
  </si>
  <si>
    <t>Kölcsön törlesztése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</si>
  <si>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</si>
  <si>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</si>
  <si>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</si>
  <si>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</si>
  <si>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Pénzeszközátadások államháztartáson kívülre összesen</t>
  </si>
  <si>
    <t>11.</t>
  </si>
  <si>
    <t>12.</t>
  </si>
  <si>
    <t>14.</t>
  </si>
  <si>
    <t>17.</t>
  </si>
  <si>
    <t>Beruházási kiadások összesen</t>
  </si>
  <si>
    <t>13.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</si>
  <si>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</si>
  <si>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</si>
  <si>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</si>
  <si>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</si>
  <si>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Megnevezés</t>
  </si>
  <si>
    <t>1.</t>
  </si>
  <si>
    <t>2.</t>
  </si>
  <si>
    <t>3.</t>
  </si>
  <si>
    <t>4.</t>
  </si>
  <si>
    <t>5.</t>
  </si>
  <si>
    <t>Önkormányzat támogatásértékű kiadások, pénzeszközátadások</t>
  </si>
  <si>
    <t>6.</t>
  </si>
  <si>
    <t>Felhalmozási kiadások</t>
  </si>
  <si>
    <t>7.</t>
  </si>
  <si>
    <t>8.</t>
  </si>
  <si>
    <t>9.</t>
  </si>
  <si>
    <t>10.</t>
  </si>
  <si>
    <t>19.</t>
  </si>
  <si>
    <t>I.+II. KIADÁSOK ÖSSZESEN</t>
  </si>
  <si>
    <t>15.</t>
  </si>
  <si>
    <t>16.</t>
  </si>
  <si>
    <t>18.</t>
  </si>
  <si>
    <t>Vállalkozásoknak</t>
  </si>
  <si>
    <t>Társulásnak és költségvetési szerveinek</t>
  </si>
  <si>
    <t>Irányítás (felügyelet) alá tartozó költségvetési szervnek folyósított támogatás</t>
  </si>
  <si>
    <t xml:space="preserve">2. </t>
  </si>
  <si>
    <t>Civil szervezeteknek</t>
  </si>
  <si>
    <t>20.</t>
  </si>
  <si>
    <t>K62</t>
  </si>
  <si>
    <t>K64</t>
  </si>
  <si>
    <t>K71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</si>
  <si>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</si>
  <si>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</si>
  <si>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</si>
  <si>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</si>
  <si>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</si>
  <si>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</si>
  <si>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</si>
  <si>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</si>
  <si>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</si>
  <si>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</si>
  <si>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</si>
  <si>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</si>
  <si>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</si>
  <si>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</si>
  <si>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</si>
  <si>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</si>
  <si>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</si>
  <si>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</si>
  <si>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</si>
  <si>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>Rövid lejáratú hitelek törlesztése</t>
  </si>
  <si>
    <t xml:space="preserve">   Betét visszavonásából származó bevétel </t>
  </si>
  <si>
    <t>Hosszú lejáratú hitelek törlesztése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</si>
  <si>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</si>
  <si>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</si>
  <si>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</si>
  <si>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</si>
  <si>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</si>
  <si>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</si>
  <si>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</si>
  <si>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</si>
  <si>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</si>
  <si>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</si>
  <si>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</si>
  <si>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</si>
  <si>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</si>
  <si>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</si>
  <si>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</si>
  <si>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</si>
  <si>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</si>
  <si>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</si>
  <si>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</si>
  <si>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</si>
  <si>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27.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</si>
  <si>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</si>
  <si>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</si>
  <si>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</si>
  <si>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</si>
  <si>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</si>
  <si>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</si>
  <si>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</si>
  <si>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</si>
  <si>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</si>
  <si>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</si>
  <si>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</si>
  <si>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</si>
  <si>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</si>
  <si>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</si>
  <si>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</si>
  <si>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</si>
  <si>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</si>
  <si>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</si>
  <si>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</si>
  <si>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</si>
  <si>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</si>
  <si>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</si>
  <si>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</si>
  <si>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</si>
  <si>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</si>
  <si>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</si>
  <si>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</si>
  <si>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</si>
  <si>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</si>
  <si>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</si>
  <si>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</si>
  <si>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</si>
  <si>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</si>
  <si>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</si>
  <si>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</si>
  <si>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</si>
  <si>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</si>
  <si>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</si>
  <si>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</si>
  <si>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</si>
  <si>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</si>
  <si>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</si>
  <si>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</si>
  <si>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</si>
  <si>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</si>
  <si>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</si>
  <si>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</si>
  <si>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</si>
  <si>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</si>
  <si>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Sor-szám</t>
  </si>
  <si>
    <t>Szakfeladat megnevezés</t>
  </si>
  <si>
    <t>Önkormányzat</t>
  </si>
  <si>
    <t>Önkormányzati jogalkotás</t>
  </si>
  <si>
    <t>Város és községgazdálkodási szolg.</t>
  </si>
  <si>
    <t>Foglalk.helyett.t.jog. hosszabb idejű közfoglalkoztatása</t>
  </si>
  <si>
    <t>Mindösszesen</t>
  </si>
  <si>
    <t>Adósságot keletkeztető kötelezettségvállalásának felső határa (hitelképesség)</t>
  </si>
  <si>
    <t>Helyi adók</t>
  </si>
  <si>
    <t>Saját bevételek</t>
  </si>
  <si>
    <t>Támogatások ( Önkorm.mük.tám.), kiegészítések (működési célú)</t>
  </si>
  <si>
    <t xml:space="preserve">áht-n belüli megelőlegezések visszafízetése </t>
  </si>
  <si>
    <t xml:space="preserve"> Ft-ban</t>
  </si>
  <si>
    <t xml:space="preserve">  forintban !</t>
  </si>
  <si>
    <t>Ft-ban</t>
  </si>
  <si>
    <t xml:space="preserve">   Forgatási célú belföldi értékpapír beváltása, értékesítése</t>
  </si>
  <si>
    <t>Eredeti előirányzat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</si>
  <si>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</si>
  <si>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</si>
  <si>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</si>
  <si>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</si>
  <si>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</si>
  <si>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</si>
  <si>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</si>
  <si>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</si>
  <si>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</si>
  <si>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</si>
  <si>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Értékesítési és forgalmi adók (iparűzési)</t>
  </si>
  <si>
    <t>Gépjárműadók</t>
  </si>
  <si>
    <t>Egyéb áruhaszn. és szolg. adók (idegenforg. adó)</t>
  </si>
  <si>
    <t>Termékek és szolgáltatások adói (1:3)</t>
  </si>
  <si>
    <t>Egyéb közhatalmi bevételek (talajterh., bírság, pótlék)</t>
  </si>
  <si>
    <t>Közhatalmi bevételek összesen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</si>
  <si>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</si>
  <si>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</si>
  <si>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</si>
  <si>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</si>
  <si>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</si>
  <si>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</si>
  <si>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</si>
  <si>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Működési bevételek összesen:</t>
  </si>
  <si>
    <t>Ingatlanok értékesítése</t>
  </si>
  <si>
    <t>Felhalmozási bevételek</t>
  </si>
  <si>
    <t>Költségvetési bevételek</t>
  </si>
  <si>
    <t>Forgatási célú belföldi értékpapírok beváltása, értékesítése</t>
  </si>
  <si>
    <t>Belföldi értékpapírok bevételei</t>
  </si>
  <si>
    <t>Előző év költségvetési maradványának igénybevétele</t>
  </si>
  <si>
    <t>Maradvány igénybevétele</t>
  </si>
  <si>
    <t>Finanszírozási bevételek</t>
  </si>
  <si>
    <t>Bevételek összesen:</t>
  </si>
  <si>
    <t>Foglalkoztatottak személyi juttatásai</t>
  </si>
  <si>
    <t>Külső személyi juttatások</t>
  </si>
  <si>
    <t>Személyi juttatások összesen:</t>
  </si>
  <si>
    <t>Munkaadókat terhelő járulékok és szoc. ho</t>
  </si>
  <si>
    <t>Készletbeszerzés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</si>
  <si>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</si>
  <si>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</si>
  <si>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</si>
  <si>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</si>
  <si>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</si>
  <si>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</si>
  <si>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</si>
  <si>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</si>
  <si>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</si>
  <si>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</si>
  <si>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</si>
  <si>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</si>
  <si>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</si>
  <si>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</si>
  <si>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Államháztartáson belüli megelőlegezések visszafizetése</t>
  </si>
  <si>
    <t>Központi, irányító szervi támogatások folyósítása</t>
  </si>
  <si>
    <t>Finanszírozási kiadások</t>
  </si>
  <si>
    <t>Kiadások összesen:</t>
  </si>
  <si>
    <t>Módosított ei.</t>
  </si>
  <si>
    <t>Teljesítés</t>
  </si>
  <si>
    <t>2. Felhalmozási i célú pénzeszközátadások</t>
  </si>
  <si>
    <t>Felhalmozási célú támogatáok áh-n  kívülre</t>
  </si>
  <si>
    <t>Működési célú költségvetési támogatások és kiegészítő támogatások</t>
  </si>
  <si>
    <t>Müködési c. támogatásértékű bevétel központi költségvetési szervek</t>
  </si>
  <si>
    <t>Müködési c. támogatásértékű bevétel központi kezelésű</t>
  </si>
  <si>
    <t>Felhalmozási  célú támogatások áht-n belülről összesen:</t>
  </si>
  <si>
    <t>Részesedések értékesítése</t>
  </si>
  <si>
    <t>1.a.</t>
  </si>
  <si>
    <t xml:space="preserve">Államháztartáson belüli megelőlegezések </t>
  </si>
  <si>
    <t>Részesedések beszerzése</t>
  </si>
  <si>
    <t>Felhalmozási bevetétel Részesedések értékesítése</t>
  </si>
  <si>
    <t>Támogatások,felhalmozásicélú önkormányzati támogatás</t>
  </si>
  <si>
    <t>Beruházás Részesedések értékesítése</t>
  </si>
  <si>
    <t>Egyéb tárgyi eszköz értékesítése</t>
  </si>
  <si>
    <t>Magánszemélyek jövedelemadó</t>
  </si>
  <si>
    <t>Termőföld bérbeadásból származó jövedelem utáni szemlyi j.adó</t>
  </si>
  <si>
    <t>9/a</t>
  </si>
  <si>
    <t>Értékpapírok vásárlásának kiadása</t>
  </si>
  <si>
    <t>ESZKÖZÖK</t>
  </si>
  <si>
    <t>I. Immateriális javak összesen:</t>
  </si>
  <si>
    <t>Vagyon értékű jogok bruttó ért.</t>
  </si>
  <si>
    <t>Teljesen 0-ig leírt vagyonértékű jogok bruttó ért.</t>
  </si>
  <si>
    <t>Vagyon értékű jogok eddig elszám.écs</t>
  </si>
  <si>
    <t>Nettó vagyon értékű jogok</t>
  </si>
  <si>
    <t>Teljesen 0-ig leírt szellemi termékek bruttó ért.</t>
  </si>
  <si>
    <t>Szellemi termékek eddig elsz. écs.</t>
  </si>
  <si>
    <t>Nettó szellemi termékek</t>
  </si>
  <si>
    <t>II. Tárgyi eszközök összesen:</t>
  </si>
  <si>
    <t>Földterületek forgalomképtelen</t>
  </si>
  <si>
    <t>Korlátozottan forgalom képes földterület</t>
  </si>
  <si>
    <t>Korlátozottan forgalom képes telkek</t>
  </si>
  <si>
    <t>Forgalom képes telkek bruttó értéke</t>
  </si>
  <si>
    <t>Erdő</t>
  </si>
  <si>
    <t>Korlátozottan forgalom képes épületek bruttó ért.</t>
  </si>
  <si>
    <t>Korlátozottan forgalom képes épületek elsz. écs.</t>
  </si>
  <si>
    <t>Forgalom képes épületek bruttó értéke</t>
  </si>
  <si>
    <r>
      <t>Teljesen 0-ig leírt épületek bruttó.ért.</t>
    </r>
    <r>
      <rPr>
        <sz val="8"/>
        <rFont val="Times New Roman"/>
        <family val="1"/>
        <charset val="238"/>
      </rPr>
      <t>(korlátozottan forgalom képes)</t>
    </r>
  </si>
  <si>
    <t>Teljesen 0-ig leírt épületek écs</t>
  </si>
  <si>
    <t>Egyéb építmények bruttó ért forgalomképtelen</t>
  </si>
  <si>
    <t>Forgalomképtelen egyéb építmények elszámolt écs</t>
  </si>
  <si>
    <t>Nettó ügyviteli és számtech. eszközök</t>
  </si>
  <si>
    <t>Nettó egyéb gépek; ber. és felszerelések</t>
  </si>
  <si>
    <t>Nettó járművek</t>
  </si>
  <si>
    <t>III. Befektetett pénzügyi eszközök összesen:</t>
  </si>
  <si>
    <t>Egyéb tartós részesedések (Pannon-Víz részvény)</t>
  </si>
  <si>
    <t>Tartósan adott kölcsön</t>
  </si>
  <si>
    <t>Egyéb hosszú lejáratú követelés</t>
  </si>
  <si>
    <t>IV. Koncesszióba,vagyonkezelésbe adott eszközök:</t>
  </si>
  <si>
    <t>A / Nemzeti vagyonba tartozó befektetett  eszközök összesen:</t>
  </si>
  <si>
    <t>II. Értékpapírok összesen:</t>
  </si>
  <si>
    <t>B / Nemzeti vagyonba tartozó forgóeszközök  összesen:</t>
  </si>
  <si>
    <t>III. Forintszámlák összesen:</t>
  </si>
  <si>
    <t>Pénztárak, csekkek, betétkönyv</t>
  </si>
  <si>
    <t>Költségvet. bankszámla</t>
  </si>
  <si>
    <t>Idegen pénzeszközök</t>
  </si>
  <si>
    <t>- letéti szla.</t>
  </si>
  <si>
    <t>- Idegen bevételek számla</t>
  </si>
  <si>
    <t>C / Pénzeszközök  összesen: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</si>
  <si>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</si>
  <si>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</si>
  <si>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</si>
  <si>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</si>
  <si>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</si>
  <si>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</si>
  <si>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</si>
  <si>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11</t>
  </si>
  <si>
    <t>A/III/1 Tartós részesedések (=A/III/1a+…+A/III/1e)</t>
  </si>
  <si>
    <t>13</t>
  </si>
  <si>
    <t>A/III/1b - ebből: tartós részesedések nem pénzügyi vállalkozásban</t>
  </si>
  <si>
    <t>15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</si>
  <si>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</si>
  <si>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</si>
  <si>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</si>
  <si>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</si>
  <si>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</si>
  <si>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</si>
  <si>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</si>
  <si>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</si>
  <si>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</si>
  <si>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</si>
  <si>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53</t>
  </si>
  <si>
    <t>C/III/1 Kincstáron kívüli forintszámlák</t>
  </si>
  <si>
    <t>C/III Forintszámlák (=C/III/1+C/III/2)</t>
  </si>
  <si>
    <t>C) PÉNZESZKÖZÖK (=C/I+…+C/IV)</t>
  </si>
  <si>
    <t>62</t>
  </si>
  <si>
    <t>D/I/3 Költségvetési évben esedékes követelések közhatalmi bevételre (=D/I/3a+…+D/I/3f)</t>
  </si>
  <si>
    <t>68</t>
  </si>
  <si>
    <t>D/I/3d - ebből: költségvetési évben esedékes követelések vagyoni típusú adókra</t>
  </si>
  <si>
    <t>69</t>
  </si>
  <si>
    <t>D/I/3e - ebből: költségvetési évben esedékes követelések termékek és szolgáltatások adóira</t>
  </si>
  <si>
    <t>70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</si>
  <si>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</si>
  <si>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</si>
  <si>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</si>
  <si>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</si>
  <si>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</si>
  <si>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</si>
  <si>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D/III/4 Forgótőke elszámolása</t>
  </si>
  <si>
    <t>D/III/5 Vagyonkezelésbe adott eszközökkel kapcsolatos visszapótlási követelés elszámolása</t>
  </si>
  <si>
    <t>D/III Követelés jellegű sajátos elszámolások (=D/III/1+…+D/III/9)</t>
  </si>
  <si>
    <t>161</t>
  </si>
  <si>
    <t>D) KÖVETELÉSEK  (=D/I+D/II+D/III)</t>
  </si>
  <si>
    <t>E/I/2 Más előzetesen felszámított levonható általános forgalmi adó</t>
  </si>
  <si>
    <t>166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</si>
  <si>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</si>
  <si>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</si>
  <si>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</si>
  <si>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171</t>
  </si>
  <si>
    <t>175</t>
  </si>
  <si>
    <t>176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</si>
  <si>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</si>
  <si>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</si>
  <si>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</si>
  <si>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</si>
  <si>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182</t>
  </si>
  <si>
    <t>G/II Nemzeti vagyon változásai</t>
  </si>
  <si>
    <t>G/IV Felhalmozott eredmény</t>
  </si>
  <si>
    <t>G/VI Mérleg szerinti eredmény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</si>
  <si>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</si>
  <si>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</si>
  <si>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</si>
  <si>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</si>
  <si>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</si>
  <si>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</si>
  <si>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</si>
  <si>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</si>
  <si>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</si>
  <si>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</si>
  <si>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</si>
  <si>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</si>
  <si>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</si>
  <si>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</si>
  <si>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</si>
  <si>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</si>
  <si>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</si>
  <si>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</si>
  <si>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</si>
  <si>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</si>
  <si>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</si>
  <si>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17</t>
  </si>
  <si>
    <t>E)        Alaptevékenység szabad maradványa (=A-D)</t>
  </si>
  <si>
    <t>Előző időszak</t>
  </si>
  <si>
    <t>Módosítások (+/-)</t>
  </si>
  <si>
    <t>Tárgyi időszak</t>
  </si>
  <si>
    <t>A/II Tárgyi eszközök  (=A/II/1+...+A/II/5)</t>
  </si>
  <si>
    <t>51</t>
  </si>
  <si>
    <t>57</t>
  </si>
  <si>
    <t>66</t>
  </si>
  <si>
    <t>67</t>
  </si>
  <si>
    <t>101</t>
  </si>
  <si>
    <t>143</t>
  </si>
  <si>
    <t>148</t>
  </si>
  <si>
    <t>152</t>
  </si>
  <si>
    <t>153</t>
  </si>
  <si>
    <t>158</t>
  </si>
  <si>
    <t>159</t>
  </si>
  <si>
    <t>164</t>
  </si>
  <si>
    <t>167</t>
  </si>
  <si>
    <t>E) EGYÉB SAJÁTOS ELSZÁMOLÁSOK (=E/I+E/II+E/III)</t>
  </si>
  <si>
    <t>172</t>
  </si>
  <si>
    <t>177</t>
  </si>
  <si>
    <t>178</t>
  </si>
  <si>
    <t>183</t>
  </si>
  <si>
    <t>G/ SAJÁT TŐKE  (= G/I+…+G/VI)</t>
  </si>
  <si>
    <t>H/II/9 Költségvetési évet követően esedékes kötelezettségek finanszírozási kiadásokra (&gt;=H/II/9a+…+H/II/9j)</t>
  </si>
  <si>
    <t>236</t>
  </si>
  <si>
    <t>247</t>
  </si>
  <si>
    <t>A/I/2 Szellemi termékek</t>
  </si>
  <si>
    <t>A/I Immateriális javak (=A/I/1+A/I/2+A/I/3)</t>
  </si>
  <si>
    <t>47</t>
  </si>
  <si>
    <t>C/II/1 Forintpénztár</t>
  </si>
  <si>
    <t>50</t>
  </si>
  <si>
    <t>C/II Pénztárak, csekkek, betétkönyvek (=C/II/1+C/II/2+C/II/3)</t>
  </si>
  <si>
    <t>73</t>
  </si>
  <si>
    <t>D/I/4d - ebből: költségvetési évben esedékes követelések kiszámlázott általános forgalmi adóra</t>
  </si>
  <si>
    <t>147</t>
  </si>
  <si>
    <t>D/III/1d - ebből: igénybe vett szolgáltatásra adott előlegek</t>
  </si>
  <si>
    <t>H/III/3 Más szervezetet megillető bevételek elszámolása</t>
  </si>
  <si>
    <t>16</t>
  </si>
  <si>
    <t>D)        Alaptevékenység kötelezettségvállalással terhelt maradványa</t>
  </si>
  <si>
    <t>Vagyoni tipusú adók (építményadó, kommunális adó)</t>
  </si>
  <si>
    <t>Államháztartáson belüli megelőlegezések visszafieztése</t>
  </si>
  <si>
    <t>Egyéb építmények aktivált bruttó értéke</t>
  </si>
  <si>
    <t>Ingatlan vagyoni ért. jog bruttó ért.</t>
  </si>
  <si>
    <t>Ingatlan vagyoni ért. jog elszámolt écs.</t>
  </si>
  <si>
    <t>Befejezetlen beruházások és felújítások</t>
  </si>
  <si>
    <t>- Szentistváni CS-né alszámla</t>
  </si>
  <si>
    <t>- Környezetvédelmi alszámla</t>
  </si>
  <si>
    <t xml:space="preserve">- Viziközmű alszámla </t>
  </si>
  <si>
    <t>- Állami hozzájárulások alszámla</t>
  </si>
  <si>
    <t>- Költségvetési elszámolási számla</t>
  </si>
  <si>
    <t>- Építményadó beszedési alszámla</t>
  </si>
  <si>
    <t>- Iparűzési adó alszámla</t>
  </si>
  <si>
    <t>- Késedelmi pótlék alszámla</t>
  </si>
  <si>
    <t>- Egyéb bevételek beszedési alszámla</t>
  </si>
  <si>
    <t>Elszámolásból származó bevételek</t>
  </si>
  <si>
    <t>Müködési c. támogatásértékű bevétel egyéb fejezeti kezelésű ei.</t>
  </si>
  <si>
    <t>Biztosító által fizetett kártérítés</t>
  </si>
  <si>
    <t>Egyéb pénzügyi műveletel bevételei</t>
  </si>
  <si>
    <t xml:space="preserve">Egyéb működési célú átvett pénzeszköz </t>
  </si>
  <si>
    <t>Működési célú átvett pénzeszközök</t>
  </si>
  <si>
    <t>179</t>
  </si>
  <si>
    <t>G/III Egyéb eszközök induláskori értéke és változásai</t>
  </si>
  <si>
    <t>180</t>
  </si>
  <si>
    <t>222</t>
  </si>
  <si>
    <t>227</t>
  </si>
  <si>
    <t>233</t>
  </si>
  <si>
    <t>234</t>
  </si>
  <si>
    <t>243</t>
  </si>
  <si>
    <t>244</t>
  </si>
  <si>
    <t>249</t>
  </si>
  <si>
    <t>250</t>
  </si>
  <si>
    <t>Működési költségvetési hiány:</t>
  </si>
  <si>
    <t>Működési tárgyévi  hiány:</t>
  </si>
  <si>
    <t>Működési költségvetési többlet:</t>
  </si>
  <si>
    <t>Működési tárgyévi  többlet:</t>
  </si>
  <si>
    <t>Felhalmozási költségvetési hiány:</t>
  </si>
  <si>
    <t>Felhalmozási tárgyévi  hiány:</t>
  </si>
  <si>
    <t>Felhalmozási költségvetési többlet:</t>
  </si>
  <si>
    <t>Felhalmozási tárgyévi  többlet:</t>
  </si>
  <si>
    <t>Bursa Hungarica ösztöndíj</t>
  </si>
  <si>
    <t xml:space="preserve">Abda  Önkorm.-nak - óvoda </t>
  </si>
  <si>
    <t>Abda  Önkorm.-nak  Családseg.-Gyermj.</t>
  </si>
  <si>
    <t>Arrabona EGTC</t>
  </si>
  <si>
    <t>Pénzeszközátatás</t>
  </si>
  <si>
    <t>Ikrény SE támogatás</t>
  </si>
  <si>
    <t>Polgárőr Egyesület támogatás</t>
  </si>
  <si>
    <t>Horgász Egyesület támogatás</t>
  </si>
  <si>
    <t>Templomért Alapítvány támogatás</t>
  </si>
  <si>
    <t>ISK-DSK támogatás</t>
  </si>
  <si>
    <t>IKIFE támogatás</t>
  </si>
  <si>
    <t>Felhalmozási célú támogatásértékű kiadások államháztartáson belülre</t>
  </si>
  <si>
    <t>K61</t>
  </si>
  <si>
    <t>K63</t>
  </si>
  <si>
    <t>K67</t>
  </si>
  <si>
    <t>K74</t>
  </si>
  <si>
    <t>Pannónia Kincse</t>
  </si>
  <si>
    <t>Teljesítés 2018.év</t>
  </si>
  <si>
    <t>% 2019.év telj./Mód</t>
  </si>
  <si>
    <t>Felhalmozási célú önkormányzati támogatások fejezeti kezelésű</t>
  </si>
  <si>
    <t>Kiküldetés, reklám- és propagandakiadások</t>
  </si>
  <si>
    <t>2019. évi engedélyezett létszám</t>
  </si>
  <si>
    <t>IKRÉNY KÖZSÉG ÖNKORMÁNYZATA 2019. ÉVI BESZÁMOLÓ</t>
  </si>
  <si>
    <t>Zöldterület-kezelés</t>
  </si>
  <si>
    <t>Könyvtári szolgáltatás</t>
  </si>
  <si>
    <t>Díjak, pótlékok, települési adók</t>
  </si>
  <si>
    <t>2019. évi eredeti előirányzat</t>
  </si>
  <si>
    <t xml:space="preserve"> </t>
  </si>
  <si>
    <t>Egyéb tárgyi eszközök felújítása</t>
  </si>
  <si>
    <t>K73</t>
  </si>
  <si>
    <t xml:space="preserve">IKRÉNY KÖZSÉG ÖNKORMÁNYZATA   2019. ÉVI BESZÁMOLÓ </t>
  </si>
  <si>
    <t>Közös Hivatalnak (munkaruha, szem.jutt.,elszámolások)</t>
  </si>
  <si>
    <t>Elkülönített állami pénzalap Munkaügyi Kp.</t>
  </si>
  <si>
    <t>Társulások és költségvetési szerveik</t>
  </si>
  <si>
    <t>Abda Óvoda Társulásnak óvodabővítése</t>
  </si>
  <si>
    <t>2019. évi előirányzat</t>
  </si>
  <si>
    <t>2019. évi I. Működési célú bevételek és kiadások mérlege
(Önkormányzati szinten)</t>
  </si>
  <si>
    <t>2019. évi II. Felhalmozási célú bevételek és kiadások mérlege
(Önkormányzati szinten)</t>
  </si>
  <si>
    <t>Imm. javak, ingatlanok, egyéb tárgyi eszköz értékesítés</t>
  </si>
  <si>
    <t>Rovat</t>
  </si>
  <si>
    <t>B111</t>
  </si>
  <si>
    <t>B112</t>
  </si>
  <si>
    <t>B113</t>
  </si>
  <si>
    <t>B114</t>
  </si>
  <si>
    <t>B115</t>
  </si>
  <si>
    <t>B116</t>
  </si>
  <si>
    <t>B11</t>
  </si>
  <si>
    <t xml:space="preserve">Előir. mód. I. </t>
  </si>
  <si>
    <t>Előir. mód. II.</t>
  </si>
  <si>
    <t>Előir. mód. III.</t>
  </si>
  <si>
    <t>B16</t>
  </si>
  <si>
    <t>B1</t>
  </si>
  <si>
    <t>B25</t>
  </si>
  <si>
    <t>B2</t>
  </si>
  <si>
    <t>B34</t>
  </si>
  <si>
    <t>B311</t>
  </si>
  <si>
    <t>B351</t>
  </si>
  <si>
    <t>B354</t>
  </si>
  <si>
    <t>B35</t>
  </si>
  <si>
    <t>B36</t>
  </si>
  <si>
    <t>B3</t>
  </si>
  <si>
    <t>B355</t>
  </si>
  <si>
    <t>B402</t>
  </si>
  <si>
    <t>B403</t>
  </si>
  <si>
    <t>B405</t>
  </si>
  <si>
    <t>B406</t>
  </si>
  <si>
    <t>B407</t>
  </si>
  <si>
    <t>B410</t>
  </si>
  <si>
    <t>B411</t>
  </si>
  <si>
    <t>B4</t>
  </si>
  <si>
    <t>B404</t>
  </si>
  <si>
    <t>B408</t>
  </si>
  <si>
    <t>Kamatbevételek és más nyereségjellegű bevételek</t>
  </si>
  <si>
    <t>B409</t>
  </si>
  <si>
    <t>B52</t>
  </si>
  <si>
    <t>B5</t>
  </si>
  <si>
    <t>B53</t>
  </si>
  <si>
    <t>B54</t>
  </si>
  <si>
    <t>B65</t>
  </si>
  <si>
    <t>B6</t>
  </si>
  <si>
    <t>B1-B7</t>
  </si>
  <si>
    <t>B8121</t>
  </si>
  <si>
    <t>B812</t>
  </si>
  <si>
    <t>B8131</t>
  </si>
  <si>
    <t>B813</t>
  </si>
  <si>
    <t>B814</t>
  </si>
  <si>
    <t>Belföldi finanszírozás bevételei</t>
  </si>
  <si>
    <t>B81</t>
  </si>
  <si>
    <t>B8</t>
  </si>
  <si>
    <t>Előir. mód. I.</t>
  </si>
  <si>
    <t>K11</t>
  </si>
  <si>
    <t>K12</t>
  </si>
  <si>
    <t>K1</t>
  </si>
  <si>
    <t>K2</t>
  </si>
  <si>
    <t>K31</t>
  </si>
  <si>
    <t>K32</t>
  </si>
  <si>
    <t>K33</t>
  </si>
  <si>
    <t>K34</t>
  </si>
  <si>
    <t>K35</t>
  </si>
  <si>
    <t>K3</t>
  </si>
  <si>
    <t>K4</t>
  </si>
  <si>
    <t>K502</t>
  </si>
  <si>
    <t>K506</t>
  </si>
  <si>
    <t>K512</t>
  </si>
  <si>
    <t>K513</t>
  </si>
  <si>
    <t>K5</t>
  </si>
  <si>
    <t>K6</t>
  </si>
  <si>
    <t>K7</t>
  </si>
  <si>
    <t>K65</t>
  </si>
  <si>
    <t>K84</t>
  </si>
  <si>
    <t>K8</t>
  </si>
  <si>
    <t>K86</t>
  </si>
  <si>
    <t>K89</t>
  </si>
  <si>
    <t>K1-K8</t>
  </si>
  <si>
    <t>K914</t>
  </si>
  <si>
    <t>K915</t>
  </si>
  <si>
    <t>K9</t>
  </si>
  <si>
    <t>K912</t>
  </si>
  <si>
    <t>Közösségi, társadalmi tevékenység</t>
  </si>
  <si>
    <t>Adósságot keletkezt. éves köt. váll. felső határa 50%</t>
  </si>
  <si>
    <t>Előir. mód.</t>
  </si>
  <si>
    <t>2019. évi 07/A - Maradványkimutatás</t>
  </si>
  <si>
    <t>IKRÉNY KÖZSÉG ÖNKORMÁNYZATA 2019. ÉVI TELJESÍTÉS</t>
  </si>
  <si>
    <t xml:space="preserve">2018. év </t>
  </si>
  <si>
    <t>2019. év</t>
  </si>
  <si>
    <t>IKRÉNY KÖZSÉG ÖNKORMÁNYZAT 2019. ÉVI BESZÁMOLÓ VAGYON KIMUTATÁSA</t>
  </si>
  <si>
    <t>Bruttó érték</t>
  </si>
  <si>
    <t>Écs</t>
  </si>
  <si>
    <t>Nettó érték</t>
  </si>
  <si>
    <t>Össz. nettó érték</t>
  </si>
  <si>
    <t>2019. évi 12/A - Mérleg</t>
  </si>
  <si>
    <t>J/3 Halasztott eredményszemléletű bevételek</t>
  </si>
  <si>
    <t>Korl. forgalomképes egyéb c. telkek bruttó értéke</t>
  </si>
  <si>
    <t>Forgalomképes lakóépületek bruttó értéke</t>
  </si>
  <si>
    <t>Nemzgazd.sz.kiem.jel.egyéb c. telkek bruttó értéke</t>
  </si>
  <si>
    <t>Nemzgazd.sz.kiem.jel.egyéb épületek bruttó értéke</t>
  </si>
  <si>
    <t>Korl. forgalomképes egyéb épületek bruttó értéke</t>
  </si>
  <si>
    <t>Nemzg.sz.kiem.jel.kféle egyéb építmények bruttó értéke</t>
  </si>
  <si>
    <t>Korl.fképes kféle egyéb építmények bruttó értéke</t>
  </si>
  <si>
    <t>Forgalomképes kféle egyéb építmények bruttó értéke</t>
  </si>
  <si>
    <t>Korlátozottan forg.képes szellemi termékek bruttó értéke</t>
  </si>
  <si>
    <t>Teljesen (0-ig) leírt korl.forgképes szell. term. br. értéke</t>
  </si>
  <si>
    <t>Telj. (0-ig) leírt korl.forg.képes építmények br. értéke</t>
  </si>
  <si>
    <t>Ingatlanok és kapcsolódó vagyoni é. jogok összesen:</t>
  </si>
  <si>
    <t>Forgalomképes lakóépületek elszámolt écs</t>
  </si>
  <si>
    <t>Nemzgazd.sz.kiem.jel.egyéb épületek elszámolt écs</t>
  </si>
  <si>
    <t>Korl. forgalomképes egyéb épületek elszámolt écs</t>
  </si>
  <si>
    <t>Nemzg.sz.kiem.jel.kféle egyéb építmények elszámolt écs</t>
  </si>
  <si>
    <t>Korl.fképes kféle egyéb építmények elszámolt écs</t>
  </si>
  <si>
    <t>Forgalomképes kféle egyéb építmények elszámolt écs</t>
  </si>
  <si>
    <t>Korl. forgalomképes informatikai eszk. bruttó értéke</t>
  </si>
  <si>
    <t>Korl.forg.képes egyéb gép,berend. és felsz. br. értéke</t>
  </si>
  <si>
    <t>Forgalomképes járművek bruttó értéke</t>
  </si>
  <si>
    <t>Telj. (0-ig) leírt korl. forg.képes inform. eszk. br. ért.</t>
  </si>
  <si>
    <t>Telj. (0-ig) leírt korl. forgképes kisért. inform. e. br. ért.</t>
  </si>
  <si>
    <t>Telj. (0-ig) leírt korlátozottan forgalomképes egyéb gép, berendezés és felszerelés bruttó értéke</t>
  </si>
  <si>
    <t>Telj. (0-ig) leírt forgalomképes egyéb gép, berendezés és felszerelés bruttó értéke</t>
  </si>
  <si>
    <t>Telj. (0-ig) leírt korlátozottan forgalomképes kisértékű egyéb gép, berendezés és felszerelés bruttó értéke</t>
  </si>
  <si>
    <t>Forgalomképes informatikai eszközök elszámolt écs</t>
  </si>
  <si>
    <t>Forg.képes kisértékű informatikai eszközök elsz. écs</t>
  </si>
  <si>
    <t>Forg.képes kisért. egyéb gép, berend. és felsz. elsz. écs</t>
  </si>
  <si>
    <t>Forgalomképes járművek elszámolt écs</t>
  </si>
  <si>
    <t>Forg.képes egyéb gép, berend. és felsz. elszámolt écs</t>
  </si>
  <si>
    <t>Gépek, berendezések, felszerelések, járművek összesen:</t>
  </si>
  <si>
    <t>Koncesszióba adott gép, berend., felszerelések</t>
  </si>
  <si>
    <t>Koncesszióba adott ingatlanok terv szerinti ért. csökk.</t>
  </si>
  <si>
    <t>Koncesszióba adott ingatlanok</t>
  </si>
  <si>
    <t>Koncesszióba adott gép, berend., felszerel. terv sz. écs.</t>
  </si>
  <si>
    <t>-forgatási célú hitelviszonyt megtest. értékpapír</t>
  </si>
  <si>
    <t>- Közfoglalkoztatott alszámla</t>
  </si>
  <si>
    <t>- Magánszemélyek kommunális adója beszedési alszámla</t>
  </si>
  <si>
    <t>- Idegenforgalmi adó alszámla</t>
  </si>
  <si>
    <t>- Gépjármű adó besz. alszámla</t>
  </si>
  <si>
    <t>- Bírság besz. alszámla</t>
  </si>
  <si>
    <t xml:space="preserve">Költségvetési évben esedékes követelések közhatalmi bevételre </t>
  </si>
  <si>
    <t>Iparûzési adó költségvetési évi követelése</t>
  </si>
  <si>
    <t>Gépjármûadó költségvetési évi követelése</t>
  </si>
  <si>
    <t>Egyéb bírság költségvetési évi követelése</t>
  </si>
  <si>
    <t>Késedelmi pótlék költségvetési évi követelése</t>
  </si>
  <si>
    <t>Talajterhelési díj költségvetési évi követelése</t>
  </si>
  <si>
    <t>Költségvetési évben esedékes követelések működési bevételre</t>
  </si>
  <si>
    <t>D/I Költségvetési évben esedékes követelések</t>
  </si>
  <si>
    <t>D/II Költségvetési évet követően esedékes követelések</t>
  </si>
  <si>
    <t>Forgótőke elszámolása</t>
  </si>
  <si>
    <t>Vagyonkezelésbe adott eszközökkel kapcsolatos visszapótlási követelés elszámolása</t>
  </si>
  <si>
    <t>D/III Követelés jellegű sajátos elszámolások</t>
  </si>
  <si>
    <t>Más előzetesen felszámított levonható ÁFA</t>
  </si>
  <si>
    <t>Más fizetendő ÁFA</t>
  </si>
  <si>
    <t>Nemzeti vagyon induláskori értéke</t>
  </si>
  <si>
    <t>Nemzeti vagyon változásai</t>
  </si>
  <si>
    <t>Egyéb eszközök induláskori értéke és változásai</t>
  </si>
  <si>
    <t>Felhalmozott eredmény</t>
  </si>
  <si>
    <t>Mérleg szerinti eredmény</t>
  </si>
  <si>
    <t xml:space="preserve">G/ SAJÁT TŐKE </t>
  </si>
  <si>
    <t xml:space="preserve">H/II Költségvetési évet követően esedékes kötelezettségek </t>
  </si>
  <si>
    <t>Kapott előlegek</t>
  </si>
  <si>
    <t>H/III Kötelezettség jellegű sajátos elszámolások</t>
  </si>
  <si>
    <t>H) KÖTELEZETTSÉGEK</t>
  </si>
  <si>
    <t>Költségek, ráfordítások passzív időbeli elhatárolása</t>
  </si>
  <si>
    <t>Halasztott eredményszemléletű bevételek</t>
  </si>
  <si>
    <t xml:space="preserve">J) PASSZÍV IDŐBELI ELHATÁROLÁSOK </t>
  </si>
  <si>
    <t>Államházt. kívüli továbbszámlázott közv. szolg. költségvetési évi követelése</t>
  </si>
  <si>
    <t>Kiszámlázott ált. forg.adó miatti költségvetési évi követelése</t>
  </si>
  <si>
    <t>Továbbszámlázott közv. szolg. költségvetési évi követelése</t>
  </si>
  <si>
    <t>Építményadó költségvetési évi követelése</t>
  </si>
  <si>
    <t>Magánszem. kommunális adójának költségv. évi követelése</t>
  </si>
  <si>
    <t>Tartózk. után fiz. Idegenforg. adó költségv. évi követelése</t>
  </si>
  <si>
    <t>Igénybevett szolgáltatásra adott előlegek</t>
  </si>
  <si>
    <t>Foglalkoztatottaknak adott előlegek</t>
  </si>
  <si>
    <t>D) Követelések</t>
  </si>
  <si>
    <t>E) Egyéb sajátos elszámolások</t>
  </si>
  <si>
    <t>Költségvetési évet követően esedékes kötelezettségek államháztartáson belüli megelőlegezések visszafizetésére</t>
  </si>
  <si>
    <t>Előir. mód I.</t>
  </si>
  <si>
    <t>Előír. mód. III.</t>
  </si>
  <si>
    <t>Immateriális javak beszerzése</t>
  </si>
  <si>
    <t>Vagyoni értékű jogok vásárlása</t>
  </si>
  <si>
    <t>Szellemi termékek vásárlása</t>
  </si>
  <si>
    <t>Földterületek vásárlása</t>
  </si>
  <si>
    <t>Telkek vásárlása</t>
  </si>
  <si>
    <t>Épületek vásárlása, létesítése</t>
  </si>
  <si>
    <t>Egyéb építmények vásárlása, létesítése</t>
  </si>
  <si>
    <t>Beruházási célú előzetesen felszámított ÁFA</t>
  </si>
  <si>
    <t>Felújítási célú előzetesen felszámított ÁFA</t>
  </si>
  <si>
    <t>Ingatlanok és kapcsolódó vagyoni értékű jogok besz.</t>
  </si>
  <si>
    <t>Rendezési terv módosítás</t>
  </si>
  <si>
    <t xml:space="preserve">3. </t>
  </si>
  <si>
    <t>Ikrény 067/1 hrsz. út vételár</t>
  </si>
  <si>
    <t>Temető kerítés</t>
  </si>
  <si>
    <t>Aszfaltozási munkák 186 hrsz.</t>
  </si>
  <si>
    <t>Temető urnafal</t>
  </si>
  <si>
    <t>Erdősor utca padkázás</t>
  </si>
  <si>
    <t>Szegélykő temetőbe</t>
  </si>
  <si>
    <t xml:space="preserve">4. </t>
  </si>
  <si>
    <t>Járművek vásárlása</t>
  </si>
  <si>
    <t>Gépek, berendezések, felszerelések vásárlása</t>
  </si>
  <si>
    <t>Ügyvitel- és számítástechnikai eszközök vás.</t>
  </si>
  <si>
    <t>Egyéb gépek, berendezések és felszerelések vás.</t>
  </si>
  <si>
    <t>Képzőművészeti alkotások vásárlása</t>
  </si>
  <si>
    <t>Hangszerek vásárlása</t>
  </si>
  <si>
    <t>Router, monitor óvodába</t>
  </si>
  <si>
    <t>Külső hdd pm. irodába</t>
  </si>
  <si>
    <t>Router hivatalba</t>
  </si>
  <si>
    <t>Óvoda teakonyha bútor</t>
  </si>
  <si>
    <t>Óvoda konyhai előkészítő szekrény</t>
  </si>
  <si>
    <t>Óvoda négy férőhelyes öltöző szekrény</t>
  </si>
  <si>
    <t>Óvoda hűtő</t>
  </si>
  <si>
    <t>Informatikai eszközök (ram,ssd,vga kábel)</t>
  </si>
  <si>
    <t>Védőnői szolgálat - szűrőaudiométer</t>
  </si>
  <si>
    <t>Üstház, üst, füstcső falunapra</t>
  </si>
  <si>
    <t>Fűkasza 2 db, motorfűrész</t>
  </si>
  <si>
    <t>Óvoda kerítés</t>
  </si>
  <si>
    <t>Cub Cadet fűnyíró</t>
  </si>
  <si>
    <t>MTD Optima fűnyíró 2 db</t>
  </si>
  <si>
    <t>Óvodába vasaló</t>
  </si>
  <si>
    <t>Közlekedési táblák</t>
  </si>
  <si>
    <t xml:space="preserve">Pályázati tervdok. MFP </t>
  </si>
  <si>
    <t>Zuhanytálca - sportcsarnok</t>
  </si>
  <si>
    <t>Kerti pavilon 2 db</t>
  </si>
  <si>
    <t>Üzemeltetési anyag</t>
  </si>
  <si>
    <t>Huawei P30 lite mobiltel. 2 db</t>
  </si>
  <si>
    <t>Épületek felújítása</t>
  </si>
  <si>
    <t>Egyéb építmények felújítása</t>
  </si>
  <si>
    <t>Egészségház üvegcsere</t>
  </si>
  <si>
    <t>Széchenyi utca felújítása - mérnöki szolg.</t>
  </si>
  <si>
    <t>Templomkert pályázat - projektelőkészítési terv</t>
  </si>
  <si>
    <t>Hivatal melléképület javítása</t>
  </si>
  <si>
    <t>Fűnyíró traktor felújítása</t>
  </si>
  <si>
    <t>Teherautó felújítása</t>
  </si>
  <si>
    <t>Óvoda játszótéri eszközök felújítása</t>
  </si>
  <si>
    <t xml:space="preserve">Rendezvény sátor </t>
  </si>
  <si>
    <t>FELHALMOZÁSI KIADÁSOK ÖSSZESEN</t>
  </si>
  <si>
    <t>Felhalmozási célú pénzeszközátadások</t>
  </si>
  <si>
    <t>Felhalmozási célú támogatások összesen</t>
  </si>
  <si>
    <t>Egyéb felhalmozási célú tám. államháztartáson belülre</t>
  </si>
  <si>
    <t>Egyéb felhalmozási célú tám. államháztartáson kívülre</t>
  </si>
  <si>
    <t>Nagytérségi Hulladékgazd. Társulás önrész</t>
  </si>
  <si>
    <t>Óvoda bővítés kapcsán átadott pénzeszköz Köznevelési Társulásnak (Abda)</t>
  </si>
  <si>
    <t>Elvonások és befizetések MÁK részére</t>
  </si>
  <si>
    <t>Helyi önkormányzatok előző évi elszámolásából származó kiadások</t>
  </si>
  <si>
    <t>Központi költségvetési szerv előirányzatoknak</t>
  </si>
  <si>
    <t>Működési célú támogatásértékű kiadások államháztartáson belülre</t>
  </si>
  <si>
    <t>1. Működési célú támogatásértékű kiadások</t>
  </si>
  <si>
    <t>2. Felhalmozási célú támogatásértékű kiadások</t>
  </si>
  <si>
    <t>Fogorvosi alapellátás, isk. eü.</t>
  </si>
  <si>
    <t>Nagytérségi Hulladékgazdálkodási Társulás (önrész tőke+kamat)</t>
  </si>
  <si>
    <t>0</t>
  </si>
  <si>
    <t>Központi, irányitó szervi támogatás</t>
  </si>
  <si>
    <t xml:space="preserve">   Egyéb belső finanszírozási bevételek államháztartáson belüli megelőlegezés</t>
  </si>
  <si>
    <t>Kötelező feladatok</t>
  </si>
  <si>
    <t>IKRÉNY KÖZSÉG ÖNKORMÁNYZATA 2019. I-IV. NEGYEDÉVI ELŐIRÁNYZAT MÓDOSÍTÁS</t>
  </si>
  <si>
    <t>Önként vállalt feladatok</t>
  </si>
  <si>
    <t>Összesen</t>
  </si>
  <si>
    <t>Állami feladatok</t>
  </si>
  <si>
    <t>Eredeti ei.</t>
  </si>
  <si>
    <t>Össz.</t>
  </si>
  <si>
    <t>Közvetített szolgáltatások</t>
  </si>
  <si>
    <t>K335</t>
  </si>
  <si>
    <t>1.1. számú melléklet</t>
  </si>
  <si>
    <t>2.1.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</si>
</sst>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#,###"/>
  </numFmts>
  <fonts count="6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b/>
      <sz val="8"/>
      <name val="Times New Roman CE"/>
      <family val="1"/>
      <charset val="238"/>
    </font>
    <font>
      <sz val="9"/>
      <name val="Times New Roman CE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18" fillId="4" borderId="0" applyNumberFormat="0" applyBorder="0" applyAlignment="0" applyProtection="0"/>
    <xf numFmtId="0" fontId="19" fillId="18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19" borderId="0" applyNumberFormat="0" applyBorder="0" applyAlignment="0" applyProtection="0"/>
    <xf numFmtId="0" fontId="24" fillId="18" borderId="1" applyNumberFormat="0" applyAlignment="0" applyProtection="0"/>
    <xf numFmtId="0" fontId="54" fillId="0" borderId="0"/>
  </cellStyleXfs>
  <cellXfs count="57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3" fontId="2" fillId="20" borderId="13" xfId="0" applyNumberFormat="1" applyFont="1" applyFill="1" applyBorder="1" applyAlignment="1">
      <alignment vertical="center"/>
    </xf>
    <xf numFmtId="3" fontId="2" fillId="2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3" fontId="2" fillId="20" borderId="15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left" vertical="center"/>
    </xf>
    <xf numFmtId="3" fontId="2" fillId="20" borderId="1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/>
    </xf>
    <xf numFmtId="0" fontId="2" fillId="20" borderId="17" xfId="0" applyFont="1" applyFill="1" applyBorder="1" applyAlignment="1">
      <alignment vertical="center"/>
    </xf>
    <xf numFmtId="0" fontId="2" fillId="20" borderId="1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20" borderId="20" xfId="0" applyFont="1" applyFill="1" applyBorder="1" applyAlignment="1">
      <alignment horizontal="center" vertical="center"/>
    </xf>
    <xf numFmtId="0" fontId="2" fillId="20" borderId="21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0" fontId="2" fillId="20" borderId="11" xfId="0" applyFont="1" applyFill="1" applyBorder="1" applyAlignment="1">
      <alignment horizontal="center" vertical="center"/>
    </xf>
    <xf numFmtId="0" fontId="2" fillId="20" borderId="22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right" vertical="center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165" fontId="0" fillId="0" borderId="0" xfId="0" applyNumberFormat="1" applyFill="1" applyAlignment="1" applyProtection="1">
      <alignment vertical="center" wrapText="1"/>
    </xf>
    <xf numFmtId="165" fontId="25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26" fillId="0" borderId="0" xfId="0" applyNumberFormat="1" applyFont="1" applyFill="1" applyAlignment="1" applyProtection="1">
      <alignment horizontal="right" vertical="center"/>
    </xf>
    <xf numFmtId="165" fontId="28" fillId="0" borderId="27" xfId="0" applyNumberFormat="1" applyFont="1" applyFill="1" applyBorder="1" applyAlignment="1" applyProtection="1">
      <alignment horizontal="centerContinuous" vertical="center" wrapText="1"/>
    </xf>
    <xf numFmtId="165" fontId="28" fillId="0" borderId="22" xfId="0" applyNumberFormat="1" applyFont="1" applyFill="1" applyBorder="1" applyAlignment="1" applyProtection="1">
      <alignment horizontal="centerContinuous" vertical="center" wrapText="1"/>
    </xf>
    <xf numFmtId="165" fontId="28" fillId="0" borderId="15" xfId="0" applyNumberFormat="1" applyFont="1" applyFill="1" applyBorder="1" applyAlignment="1" applyProtection="1">
      <alignment horizontal="centerContinuous" vertical="center" wrapText="1"/>
    </xf>
    <xf numFmtId="165" fontId="28" fillId="0" borderId="27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0" fillId="0" borderId="29" xfId="0" applyNumberFormat="1" applyFill="1" applyBorder="1" applyAlignment="1" applyProtection="1">
      <alignment horizontal="left" vertical="center" wrapText="1" indent="1"/>
    </xf>
    <xf numFmtId="165" fontId="31" fillId="0" borderId="30" xfId="0" applyNumberFormat="1" applyFont="1" applyFill="1" applyBorder="1" applyAlignment="1" applyProtection="1">
      <alignment horizontal="left" vertical="center" wrapText="1" indent="1"/>
    </xf>
    <xf numFmtId="165" fontId="3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3" xfId="0" applyNumberFormat="1" applyFill="1" applyBorder="1" applyAlignment="1" applyProtection="1">
      <alignment horizontal="left" vertical="center" wrapText="1" indent="1"/>
    </xf>
    <xf numFmtId="165" fontId="31" fillId="0" borderId="10" xfId="0" applyNumberFormat="1" applyFont="1" applyFill="1" applyBorder="1" applyAlignment="1" applyProtection="1">
      <alignment horizontal="left" vertical="center" wrapText="1" indent="1"/>
    </xf>
    <xf numFmtId="165" fontId="3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4" xfId="0" applyNumberFormat="1" applyFont="1" applyFill="1" applyBorder="1" applyAlignment="1" applyProtection="1">
      <alignment horizontal="left" vertical="center" wrapText="1" indent="1"/>
    </xf>
    <xf numFmtId="165" fontId="3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32" fillId="0" borderId="0" xfId="0" applyNumberFormat="1" applyFont="1" applyFill="1" applyBorder="1" applyAlignment="1" applyProtection="1">
      <alignment horizontal="left" vertical="center" wrapText="1" indent="1"/>
    </xf>
    <xf numFmtId="165" fontId="31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8" xfId="0" applyNumberFormat="1" applyFont="1" applyFill="1" applyBorder="1" applyAlignment="1" applyProtection="1">
      <alignment horizontal="left" vertical="center" wrapText="1" indent="1"/>
    </xf>
    <xf numFmtId="165" fontId="30" fillId="0" borderId="27" xfId="0" applyNumberFormat="1" applyFont="1" applyFill="1" applyBorder="1" applyAlignment="1" applyProtection="1">
      <alignment horizontal="left" vertical="center" wrapText="1" indent="1"/>
    </xf>
    <xf numFmtId="165" fontId="30" fillId="0" borderId="22" xfId="0" applyNumberFormat="1" applyFont="1" applyFill="1" applyBorder="1" applyAlignment="1" applyProtection="1">
      <alignment horizontal="right" vertical="center" wrapText="1" indent="1"/>
    </xf>
    <xf numFmtId="165" fontId="34" fillId="0" borderId="38" xfId="0" applyNumberFormat="1" applyFont="1" applyFill="1" applyBorder="1" applyAlignment="1" applyProtection="1">
      <alignment horizontal="left" vertical="center" wrapText="1" indent="1"/>
    </xf>
    <xf numFmtId="165" fontId="32" fillId="0" borderId="39" xfId="0" applyNumberFormat="1" applyFont="1" applyFill="1" applyBorder="1" applyAlignment="1" applyProtection="1">
      <alignment horizontal="left" vertical="center" wrapText="1" indent="1"/>
    </xf>
    <xf numFmtId="165" fontId="35" fillId="0" borderId="40" xfId="0" applyNumberFormat="1" applyFont="1" applyFill="1" applyBorder="1" applyAlignment="1" applyProtection="1">
      <alignment horizontal="right" vertical="center" wrapText="1" indent="1"/>
    </xf>
    <xf numFmtId="165" fontId="32" fillId="0" borderId="10" xfId="0" applyNumberFormat="1" applyFont="1" applyFill="1" applyBorder="1" applyAlignment="1" applyProtection="1">
      <alignment horizontal="left" vertical="center" wrapText="1" indent="1"/>
    </xf>
    <xf numFmtId="165" fontId="34" fillId="0" borderId="33" xfId="0" applyNumberFormat="1" applyFont="1" applyFill="1" applyBorder="1" applyAlignment="1" applyProtection="1">
      <alignment horizontal="left" vertical="center" wrapText="1" indent="1"/>
    </xf>
    <xf numFmtId="165" fontId="3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5" fillId="0" borderId="11" xfId="0" applyNumberFormat="1" applyFont="1" applyFill="1" applyBorder="1" applyAlignment="1" applyProtection="1">
      <alignment horizontal="right" vertical="center" wrapText="1" indent="1"/>
    </xf>
    <xf numFmtId="165" fontId="3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7" xfId="0" applyNumberFormat="1" applyFont="1" applyFill="1" applyBorder="1" applyAlignment="1" applyProtection="1">
      <alignment horizontal="left" vertical="center" wrapText="1" indent="1"/>
    </xf>
    <xf numFmtId="165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7" xfId="0" applyNumberFormat="1" applyFont="1" applyFill="1" applyBorder="1" applyAlignment="1" applyProtection="1">
      <alignment horizontal="left" vertical="center" wrapText="1" indent="1"/>
    </xf>
    <xf numFmtId="165" fontId="33" fillId="0" borderId="41" xfId="0" applyNumberFormat="1" applyFont="1" applyFill="1" applyBorder="1" applyAlignment="1" applyProtection="1">
      <alignment horizontal="right" vertical="center" wrapText="1" indent="1"/>
    </xf>
    <xf numFmtId="0" fontId="3" fillId="0" borderId="24" xfId="0" applyFont="1" applyFill="1" applyBorder="1" applyAlignment="1">
      <alignment vertical="center"/>
    </xf>
    <xf numFmtId="165" fontId="31" fillId="0" borderId="10" xfId="0" quotePrefix="1" applyNumberFormat="1" applyFont="1" applyFill="1" applyBorder="1" applyAlignment="1" applyProtection="1">
      <alignment horizontal="left" vertical="center" wrapText="1" indent="3"/>
    </xf>
    <xf numFmtId="165" fontId="34" fillId="0" borderId="29" xfId="0" applyNumberFormat="1" applyFont="1" applyFill="1" applyBorder="1" applyAlignment="1" applyProtection="1">
      <alignment horizontal="left" vertical="center" wrapText="1" indent="1"/>
    </xf>
    <xf numFmtId="165" fontId="35" fillId="0" borderId="39" xfId="0" applyNumberFormat="1" applyFont="1" applyFill="1" applyBorder="1" applyAlignment="1" applyProtection="1">
      <alignment horizontal="left" vertical="center" wrapText="1" indent="1"/>
    </xf>
    <xf numFmtId="165" fontId="35" fillId="0" borderId="31" xfId="0" applyNumberFormat="1" applyFont="1" applyFill="1" applyBorder="1" applyAlignment="1" applyProtection="1">
      <alignment horizontal="right" vertical="center" wrapText="1" indent="1"/>
    </xf>
    <xf numFmtId="165" fontId="32" fillId="0" borderId="10" xfId="0" applyNumberFormat="1" applyFont="1" applyFill="1" applyBorder="1" applyAlignment="1" applyProtection="1">
      <alignment horizontal="left" vertical="center" wrapText="1" indent="2"/>
    </xf>
    <xf numFmtId="165" fontId="32" fillId="0" borderId="11" xfId="0" applyNumberFormat="1" applyFont="1" applyFill="1" applyBorder="1" applyAlignment="1" applyProtection="1">
      <alignment horizontal="left" vertical="center" wrapText="1" indent="2"/>
    </xf>
    <xf numFmtId="165" fontId="35" fillId="0" borderId="11" xfId="0" applyNumberFormat="1" applyFont="1" applyFill="1" applyBorder="1" applyAlignment="1" applyProtection="1">
      <alignment horizontal="left" vertical="center" wrapText="1" indent="1"/>
    </xf>
    <xf numFmtId="165" fontId="32" fillId="0" borderId="30" xfId="0" applyNumberFormat="1" applyFont="1" applyFill="1" applyBorder="1" applyAlignment="1" applyProtection="1">
      <alignment horizontal="left" vertical="center" wrapText="1" indent="1"/>
    </xf>
    <xf numFmtId="165" fontId="32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30" xfId="0" applyNumberFormat="1" applyFont="1" applyFill="1" applyBorder="1" applyAlignment="1" applyProtection="1">
      <alignment horizontal="left" vertical="center" wrapText="1" indent="2"/>
    </xf>
    <xf numFmtId="165" fontId="31" fillId="0" borderId="36" xfId="0" applyNumberFormat="1" applyFont="1" applyFill="1" applyBorder="1" applyAlignment="1" applyProtection="1">
      <alignment horizontal="left" vertical="center" wrapText="1" indent="2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49" fontId="2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5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2" fillId="20" borderId="46" xfId="0" applyNumberFormat="1" applyFont="1" applyFill="1" applyBorder="1" applyAlignment="1">
      <alignment horizontal="center" vertical="center"/>
    </xf>
    <xf numFmtId="3" fontId="2" fillId="20" borderId="16" xfId="0" applyNumberFormat="1" applyFont="1" applyFill="1" applyBorder="1" applyAlignment="1">
      <alignment horizontal="center" vertical="center" wrapText="1"/>
    </xf>
    <xf numFmtId="3" fontId="3" fillId="0" borderId="47" xfId="0" applyNumberFormat="1" applyFont="1" applyFill="1" applyBorder="1" applyAlignment="1">
      <alignment vertical="center"/>
    </xf>
    <xf numFmtId="165" fontId="0" fillId="0" borderId="0" xfId="0" applyNumberFormat="1" applyFont="1" applyFill="1" applyAlignment="1" applyProtection="1">
      <alignment horizontal="centerContinuous" vertical="center"/>
    </xf>
    <xf numFmtId="165" fontId="0" fillId="0" borderId="0" xfId="0" applyNumberFormat="1" applyFont="1" applyFill="1" applyAlignment="1" applyProtection="1">
      <alignment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0" fillId="0" borderId="0" xfId="0" applyNumberFormat="1"/>
    <xf numFmtId="0" fontId="36" fillId="20" borderId="11" xfId="0" applyFont="1" applyFill="1" applyBorder="1" applyAlignment="1">
      <alignment horizontal="center" vertical="center" wrapText="1"/>
    </xf>
    <xf numFmtId="3" fontId="36" fillId="20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top"/>
    </xf>
    <xf numFmtId="0" fontId="37" fillId="0" borderId="11" xfId="0" applyFont="1" applyBorder="1" applyAlignment="1">
      <alignment horizontal="left" vertical="top" wrapText="1"/>
    </xf>
    <xf numFmtId="3" fontId="37" fillId="0" borderId="11" xfId="0" applyNumberFormat="1" applyFont="1" applyBorder="1" applyAlignment="1">
      <alignment horizontal="right" vertical="top" wrapText="1"/>
    </xf>
    <xf numFmtId="3" fontId="38" fillId="21" borderId="11" xfId="0" applyNumberFormat="1" applyFont="1" applyFill="1" applyBorder="1" applyAlignment="1">
      <alignment horizontal="right" vertical="top" wrapText="1"/>
    </xf>
    <xf numFmtId="0" fontId="40" fillId="0" borderId="11" xfId="0" applyFont="1" applyBorder="1" applyAlignment="1">
      <alignment horizontal="center" vertical="top" wrapText="1"/>
    </xf>
    <xf numFmtId="0" fontId="40" fillId="0" borderId="11" xfId="0" applyFont="1" applyFill="1" applyBorder="1" applyAlignment="1">
      <alignment horizontal="left" vertical="center"/>
    </xf>
    <xf numFmtId="0" fontId="41" fillId="0" borderId="0" xfId="0" applyFont="1"/>
    <xf numFmtId="3" fontId="38" fillId="20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1" fillId="0" borderId="11" xfId="0" applyFont="1" applyBorder="1"/>
    <xf numFmtId="0" fontId="1" fillId="0" borderId="0" xfId="0" applyFont="1"/>
    <xf numFmtId="3" fontId="38" fillId="20" borderId="11" xfId="0" applyNumberFormat="1" applyFont="1" applyFill="1" applyBorder="1" applyAlignment="1">
      <alignment horizontal="right" vertical="top" wrapText="1"/>
    </xf>
    <xf numFmtId="3" fontId="38" fillId="22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42" fillId="23" borderId="11" xfId="0" applyNumberFormat="1" applyFont="1" applyFill="1" applyBorder="1" applyAlignment="1">
      <alignment horizontal="right"/>
    </xf>
    <xf numFmtId="0" fontId="42" fillId="0" borderId="0" xfId="0" applyFont="1"/>
    <xf numFmtId="0" fontId="37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1" fillId="0" borderId="0" xfId="0" applyFont="1" applyAlignment="1">
      <alignment vertical="center"/>
    </xf>
    <xf numFmtId="3" fontId="41" fillId="23" borderId="11" xfId="0" applyNumberFormat="1" applyFont="1" applyFill="1" applyBorder="1" applyAlignment="1">
      <alignment horizontal="right"/>
    </xf>
    <xf numFmtId="165" fontId="28" fillId="0" borderId="50" xfId="0" applyNumberFormat="1" applyFont="1" applyFill="1" applyBorder="1" applyAlignment="1" applyProtection="1">
      <alignment horizontal="centerContinuous" vertical="center" wrapText="1"/>
    </xf>
    <xf numFmtId="165" fontId="3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5" fontId="35" fillId="0" borderId="52" xfId="0" applyNumberFormat="1" applyFont="1" applyFill="1" applyBorder="1" applyAlignment="1" applyProtection="1">
      <alignment horizontal="right" vertical="center" wrapText="1" indent="1"/>
    </xf>
    <xf numFmtId="165" fontId="3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11" xfId="0" applyNumberFormat="1" applyFont="1" applyFill="1" applyBorder="1" applyAlignment="1">
      <alignment horizontal="center" vertical="center" wrapText="1"/>
    </xf>
    <xf numFmtId="165" fontId="28" fillId="0" borderId="55" xfId="0" applyNumberFormat="1" applyFont="1" applyFill="1" applyBorder="1" applyAlignment="1" applyProtection="1">
      <alignment horizontal="centerContinuous" vertical="center" wrapText="1"/>
    </xf>
    <xf numFmtId="165" fontId="3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1" xfId="0" applyNumberFormat="1" applyFont="1" applyFill="1" applyBorder="1" applyAlignment="1" applyProtection="1">
      <alignment horizontal="left" vertical="center" wrapText="1" indent="1"/>
    </xf>
    <xf numFmtId="165" fontId="3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5" fontId="3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1" xfId="0" applyFont="1" applyBorder="1" applyAlignment="1">
      <alignment horizontal="left" vertical="top" wrapText="1"/>
    </xf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5" fillId="0" borderId="0" xfId="0" applyFont="1" applyFill="1" applyAlignment="1">
      <alignment horizontal="center" vertical="center"/>
    </xf>
    <xf numFmtId="3" fontId="43" fillId="0" borderId="0" xfId="0" applyNumberFormat="1" applyFont="1" applyFill="1" applyAlignment="1">
      <alignment horizontal="right" vertical="center"/>
    </xf>
    <xf numFmtId="0" fontId="44" fillId="20" borderId="59" xfId="0" applyFont="1" applyFill="1" applyBorder="1" applyAlignment="1">
      <alignment horizontal="center" vertical="center"/>
    </xf>
    <xf numFmtId="0" fontId="43" fillId="20" borderId="16" xfId="0" applyFont="1" applyFill="1" applyBorder="1" applyAlignment="1">
      <alignment horizontal="center" vertical="center"/>
    </xf>
    <xf numFmtId="0" fontId="43" fillId="20" borderId="22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37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44" fillId="0" borderId="57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8" fillId="0" borderId="16" xfId="0" applyFont="1" applyFill="1" applyBorder="1" applyAlignment="1">
      <alignment horizontal="left" vertical="center" wrapText="1"/>
    </xf>
    <xf numFmtId="165" fontId="31" fillId="0" borderId="52" xfId="0" applyNumberFormat="1" applyFont="1" applyFill="1" applyBorder="1" applyAlignment="1" applyProtection="1">
      <alignment horizontal="left" vertical="center" wrapText="1" indent="1"/>
    </xf>
    <xf numFmtId="165" fontId="31" fillId="0" borderId="52" xfId="0" quotePrefix="1" applyNumberFormat="1" applyFont="1" applyFill="1" applyBorder="1" applyAlignment="1" applyProtection="1">
      <alignment horizontal="left" vertical="center" wrapText="1" indent="6"/>
    </xf>
    <xf numFmtId="165" fontId="32" fillId="0" borderId="52" xfId="0" quotePrefix="1" applyNumberFormat="1" applyFont="1" applyFill="1" applyBorder="1" applyAlignment="1" applyProtection="1">
      <alignment horizontal="left" vertical="center" wrapText="1" indent="6"/>
    </xf>
    <xf numFmtId="165" fontId="31" fillId="0" borderId="54" xfId="0" applyNumberFormat="1" applyFont="1" applyFill="1" applyBorder="1" applyAlignment="1" applyProtection="1">
      <alignment horizontal="left" vertical="center" wrapText="1" indent="1"/>
    </xf>
    <xf numFmtId="165" fontId="30" fillId="0" borderId="21" xfId="0" applyNumberFormat="1" applyFont="1" applyFill="1" applyBorder="1" applyAlignment="1" applyProtection="1">
      <alignment horizontal="right" vertical="center" wrapText="1" indent="1"/>
    </xf>
    <xf numFmtId="165" fontId="3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11" xfId="0" applyNumberFormat="1" applyFont="1" applyFill="1" applyBorder="1" applyAlignment="1">
      <alignment horizontal="right" vertical="top" wrapText="1"/>
    </xf>
    <xf numFmtId="3" fontId="38" fillId="0" borderId="11" xfId="0" applyNumberFormat="1" applyFont="1" applyFill="1" applyBorder="1" applyAlignment="1">
      <alignment horizontal="right" vertical="center" wrapText="1"/>
    </xf>
    <xf numFmtId="3" fontId="53" fillId="0" borderId="11" xfId="0" applyNumberFormat="1" applyFont="1" applyBorder="1" applyAlignment="1">
      <alignment horizontal="right" vertical="top" wrapText="1"/>
    </xf>
    <xf numFmtId="3" fontId="55" fillId="20" borderId="11" xfId="0" applyNumberFormat="1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top" wrapText="1"/>
    </xf>
    <xf numFmtId="0" fontId="38" fillId="0" borderId="11" xfId="0" applyFont="1" applyBorder="1" applyAlignment="1">
      <alignment horizontal="left" vertical="top" wrapText="1"/>
    </xf>
    <xf numFmtId="3" fontId="38" fillId="0" borderId="11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165" fontId="3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43" fillId="0" borderId="16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0" fontId="3" fillId="24" borderId="11" xfId="0" applyFont="1" applyFill="1" applyBorder="1" applyAlignment="1">
      <alignment horizontal="center" vertical="center"/>
    </xf>
    <xf numFmtId="0" fontId="2" fillId="24" borderId="4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top"/>
    </xf>
    <xf numFmtId="0" fontId="43" fillId="24" borderId="11" xfId="0" applyFont="1" applyFill="1" applyBorder="1" applyAlignment="1">
      <alignment horizontal="center" vertical="center"/>
    </xf>
    <xf numFmtId="3" fontId="46" fillId="20" borderId="15" xfId="0" applyNumberFormat="1" applyFont="1" applyFill="1" applyBorder="1" applyAlignment="1">
      <alignment horizontal="center" vertical="center" wrapText="1"/>
    </xf>
    <xf numFmtId="165" fontId="31" fillId="0" borderId="51" xfId="0" applyNumberFormat="1" applyFont="1" applyFill="1" applyBorder="1" applyAlignment="1" applyProtection="1">
      <alignment horizontal="left" vertical="center" wrapText="1" indent="1"/>
    </xf>
    <xf numFmtId="165" fontId="31" fillId="0" borderId="44" xfId="0" applyNumberFormat="1" applyFont="1" applyFill="1" applyBorder="1" applyAlignment="1" applyProtection="1">
      <alignment horizontal="left" vertical="center" wrapText="1" indent="1"/>
    </xf>
    <xf numFmtId="165" fontId="31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68" xfId="0" applyNumberFormat="1" applyFont="1" applyFill="1" applyBorder="1" applyAlignment="1" applyProtection="1">
      <alignment horizontal="left" vertical="center" wrapText="1" indent="1"/>
    </xf>
    <xf numFmtId="165" fontId="3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Fill="1"/>
    <xf numFmtId="49" fontId="50" fillId="0" borderId="0" xfId="0" applyNumberFormat="1" applyFont="1" applyFill="1"/>
    <xf numFmtId="3" fontId="38" fillId="0" borderId="0" xfId="0" applyNumberFormat="1" applyFont="1" applyFill="1"/>
    <xf numFmtId="49" fontId="51" fillId="0" borderId="11" xfId="0" applyNumberFormat="1" applyFont="1" applyFill="1" applyBorder="1"/>
    <xf numFmtId="49" fontId="49" fillId="0" borderId="11" xfId="0" applyNumberFormat="1" applyFont="1" applyFill="1" applyBorder="1"/>
    <xf numFmtId="49" fontId="50" fillId="0" borderId="11" xfId="0" applyNumberFormat="1" applyFont="1" applyFill="1" applyBorder="1"/>
    <xf numFmtId="49" fontId="52" fillId="0" borderId="11" xfId="0" applyNumberFormat="1" applyFont="1" applyFill="1" applyBorder="1"/>
    <xf numFmtId="49" fontId="47" fillId="0" borderId="11" xfId="0" applyNumberFormat="1" applyFont="1" applyFill="1" applyBorder="1"/>
    <xf numFmtId="49" fontId="50" fillId="0" borderId="11" xfId="0" applyNumberFormat="1" applyFont="1" applyFill="1" applyBorder="1" applyAlignment="1">
      <alignment wrapText="1"/>
    </xf>
    <xf numFmtId="3" fontId="37" fillId="0" borderId="0" xfId="0" applyNumberFormat="1" applyFont="1" applyFill="1"/>
    <xf numFmtId="49" fontId="52" fillId="0" borderId="11" xfId="0" applyNumberFormat="1" applyFont="1" applyFill="1" applyBorder="1" applyAlignment="1">
      <alignment wrapText="1"/>
    </xf>
    <xf numFmtId="0" fontId="2" fillId="0" borderId="75" xfId="0" applyFont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165" fontId="56" fillId="0" borderId="22" xfId="0" applyNumberFormat="1" applyFont="1" applyFill="1" applyBorder="1" applyAlignment="1" applyProtection="1">
      <alignment horizontal="right" vertical="center" wrapText="1" indent="1"/>
    </xf>
    <xf numFmtId="165" fontId="56" fillId="0" borderId="15" xfId="0" applyNumberFormat="1" applyFont="1" applyFill="1" applyBorder="1" applyAlignment="1" applyProtection="1">
      <alignment horizontal="right" vertical="center" wrapText="1" indent="1"/>
    </xf>
    <xf numFmtId="165" fontId="3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1" xfId="0" applyNumberFormat="1" applyFont="1" applyFill="1" applyBorder="1" applyAlignment="1" applyProtection="1">
      <alignment horizontal="right" vertical="center" wrapText="1" indent="1"/>
    </xf>
    <xf numFmtId="165" fontId="56" fillId="0" borderId="28" xfId="0" applyNumberFormat="1" applyFont="1" applyFill="1" applyBorder="1" applyAlignment="1" applyProtection="1">
      <alignment horizontal="left" vertical="center" wrapText="1" indent="1"/>
    </xf>
    <xf numFmtId="165" fontId="56" fillId="0" borderId="41" xfId="0" applyNumberFormat="1" applyFont="1" applyFill="1" applyBorder="1" applyAlignment="1" applyProtection="1">
      <alignment horizontal="right" vertical="center" wrapText="1" indent="1"/>
    </xf>
    <xf numFmtId="165" fontId="31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15" xfId="0" applyNumberFormat="1" applyFont="1" applyFill="1" applyBorder="1" applyAlignment="1" applyProtection="1">
      <alignment horizontal="center" vertical="center" wrapText="1"/>
    </xf>
    <xf numFmtId="165" fontId="57" fillId="0" borderId="22" xfId="0" applyNumberFormat="1" applyFont="1" applyFill="1" applyBorder="1" applyAlignment="1" applyProtection="1">
      <alignment horizontal="center" vertical="center" wrapText="1"/>
    </xf>
    <xf numFmtId="0" fontId="42" fillId="23" borderId="11" xfId="0" applyFont="1" applyFill="1" applyBorder="1" applyAlignment="1">
      <alignment horizontal="left"/>
    </xf>
    <xf numFmtId="0" fontId="38" fillId="20" borderId="11" xfId="0" applyFont="1" applyFill="1" applyBorder="1" applyAlignment="1">
      <alignment horizontal="left" vertical="top" wrapText="1"/>
    </xf>
    <xf numFmtId="0" fontId="38" fillId="22" borderId="11" xfId="0" applyFont="1" applyFill="1" applyBorder="1" applyAlignment="1">
      <alignment horizontal="left" vertical="center" wrapText="1"/>
    </xf>
    <xf numFmtId="0" fontId="36" fillId="20" borderId="11" xfId="0" applyFont="1" applyFill="1" applyBorder="1" applyAlignment="1">
      <alignment horizontal="center" vertical="center" wrapText="1"/>
    </xf>
    <xf numFmtId="0" fontId="38" fillId="21" borderId="11" xfId="0" applyFont="1" applyFill="1" applyBorder="1" applyAlignment="1">
      <alignment horizontal="left" vertical="top" wrapText="1"/>
    </xf>
    <xf numFmtId="0" fontId="38" fillId="20" borderId="11" xfId="0" applyFont="1" applyFill="1" applyBorder="1" applyAlignment="1">
      <alignment horizontal="left" vertical="center" wrapText="1"/>
    </xf>
    <xf numFmtId="0" fontId="2" fillId="1" borderId="11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center" vertical="center"/>
    </xf>
    <xf numFmtId="0" fontId="0" fillId="0" borderId="0" xfId="0" applyFill="1"/>
    <xf numFmtId="0" fontId="41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42" fillId="0" borderId="0" xfId="0" applyFont="1" applyFill="1"/>
    <xf numFmtId="0" fontId="37" fillId="0" borderId="11" xfId="0" applyFont="1" applyFill="1" applyBorder="1" applyAlignment="1">
      <alignment horizontal="left" vertical="top" wrapText="1"/>
    </xf>
    <xf numFmtId="0" fontId="38" fillId="20" borderId="11" xfId="0" applyFont="1" applyFill="1" applyBorder="1" applyAlignment="1">
      <alignment horizontal="left" vertical="center" wrapText="1"/>
    </xf>
    <xf numFmtId="0" fontId="36" fillId="20" borderId="11" xfId="0" applyFont="1" applyFill="1" applyBorder="1" applyAlignment="1">
      <alignment horizontal="center" vertical="center" wrapText="1"/>
    </xf>
    <xf numFmtId="0" fontId="38" fillId="22" borderId="11" xfId="0" applyFont="1" applyFill="1" applyBorder="1" applyAlignment="1">
      <alignment horizontal="left" vertical="center" wrapText="1"/>
    </xf>
    <xf numFmtId="0" fontId="38" fillId="22" borderId="51" xfId="0" applyFont="1" applyFill="1" applyBorder="1" applyAlignment="1">
      <alignment horizontal="left" vertical="center" wrapText="1"/>
    </xf>
    <xf numFmtId="0" fontId="41" fillId="23" borderId="11" xfId="0" applyFont="1" applyFill="1" applyBorder="1" applyAlignment="1">
      <alignment horizontal="left"/>
    </xf>
    <xf numFmtId="3" fontId="37" fillId="0" borderId="11" xfId="0" applyNumberFormat="1" applyFont="1" applyFill="1" applyBorder="1" applyAlignment="1">
      <alignment horizontal="right" vertical="top" wrapText="1"/>
    </xf>
    <xf numFmtId="0" fontId="0" fillId="0" borderId="11" xfId="0" applyFill="1" applyBorder="1" applyAlignment="1">
      <alignment horizontal="center" vertical="top"/>
    </xf>
    <xf numFmtId="0" fontId="0" fillId="0" borderId="11" xfId="0" applyFill="1" applyBorder="1"/>
    <xf numFmtId="3" fontId="0" fillId="0" borderId="0" xfId="0" applyNumberFormat="1" applyFill="1"/>
    <xf numFmtId="0" fontId="2" fillId="1" borderId="11" xfId="0" applyFont="1" applyFill="1" applyBorder="1" applyAlignment="1">
      <alignment horizontal="left" vertical="center"/>
    </xf>
    <xf numFmtId="0" fontId="38" fillId="20" borderId="11" xfId="0" applyFont="1" applyFill="1" applyBorder="1" applyAlignment="1">
      <alignment horizontal="left" vertical="center" wrapText="1"/>
    </xf>
    <xf numFmtId="0" fontId="38" fillId="20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38" fillId="21" borderId="11" xfId="0" applyFont="1" applyFill="1" applyBorder="1" applyAlignment="1">
      <alignment horizontal="left" vertical="top" wrapText="1"/>
    </xf>
    <xf numFmtId="0" fontId="42" fillId="23" borderId="11" xfId="0" applyFont="1" applyFill="1" applyBorder="1" applyAlignment="1">
      <alignment horizontal="left"/>
    </xf>
    <xf numFmtId="0" fontId="38" fillId="22" borderId="11" xfId="0" applyFont="1" applyFill="1" applyBorder="1" applyAlignment="1">
      <alignment horizontal="left" vertical="center" wrapText="1"/>
    </xf>
    <xf numFmtId="0" fontId="38" fillId="20" borderId="11" xfId="0" applyFont="1" applyFill="1" applyBorder="1" applyAlignment="1">
      <alignment horizontal="left" vertical="center" wrapText="1"/>
    </xf>
    <xf numFmtId="0" fontId="38" fillId="22" borderId="11" xfId="0" applyFont="1" applyFill="1" applyBorder="1" applyAlignment="1">
      <alignment horizontal="left" vertical="center" wrapText="1"/>
    </xf>
    <xf numFmtId="0" fontId="38" fillId="22" borderId="51" xfId="0" applyFont="1" applyFill="1" applyBorder="1" applyAlignment="1">
      <alignment horizontal="left" vertical="center" wrapText="1"/>
    </xf>
    <xf numFmtId="0" fontId="41" fillId="23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/>
    </xf>
    <xf numFmtId="43" fontId="2" fillId="20" borderId="63" xfId="0" applyNumberFormat="1" applyFont="1" applyFill="1" applyBorder="1" applyAlignment="1">
      <alignment horizontal="center" vertical="center" wrapText="1"/>
    </xf>
    <xf numFmtId="43" fontId="2" fillId="20" borderId="64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right" vertical="center" wrapText="1"/>
    </xf>
    <xf numFmtId="43" fontId="2" fillId="20" borderId="28" xfId="0" applyNumberFormat="1" applyFont="1" applyFill="1" applyBorder="1" applyAlignment="1">
      <alignment horizontal="right" vertical="center" wrapText="1"/>
    </xf>
    <xf numFmtId="43" fontId="2" fillId="0" borderId="0" xfId="0" applyNumberFormat="1" applyFont="1" applyFill="1" applyBorder="1" applyAlignment="1">
      <alignment vertical="center"/>
    </xf>
    <xf numFmtId="164" fontId="2" fillId="0" borderId="33" xfId="0" applyNumberFormat="1" applyFont="1" applyFill="1" applyBorder="1" applyAlignment="1">
      <alignment horizontal="right" vertical="center" wrapText="1"/>
    </xf>
    <xf numFmtId="3" fontId="38" fillId="20" borderId="46" xfId="0" applyNumberFormat="1" applyFont="1" applyFill="1" applyBorder="1" applyAlignment="1">
      <alignment horizontal="center" vertical="center" wrapText="1"/>
    </xf>
    <xf numFmtId="3" fontId="38" fillId="20" borderId="75" xfId="0" applyNumberFormat="1" applyFont="1" applyFill="1" applyBorder="1" applyAlignment="1">
      <alignment horizontal="center" vertical="center" wrapText="1"/>
    </xf>
    <xf numFmtId="3" fontId="2" fillId="20" borderId="37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vertical="center"/>
    </xf>
    <xf numFmtId="3" fontId="3" fillId="0" borderId="37" xfId="0" applyNumberFormat="1" applyFont="1" applyFill="1" applyBorder="1" applyAlignment="1">
      <alignment vertical="center"/>
    </xf>
    <xf numFmtId="3" fontId="2" fillId="0" borderId="28" xfId="0" applyNumberFormat="1" applyFont="1" applyFill="1" applyBorder="1" applyAlignment="1">
      <alignment vertical="center" wrapText="1"/>
    </xf>
    <xf numFmtId="3" fontId="3" fillId="0" borderId="28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41" fillId="0" borderId="0" xfId="0" applyFont="1" applyAlignment="1">
      <alignment horizontal="center"/>
    </xf>
    <xf numFmtId="0" fontId="36" fillId="25" borderId="11" xfId="0" applyFont="1" applyFill="1" applyBorder="1" applyAlignment="1">
      <alignment horizontal="center" vertical="top" wrapText="1"/>
    </xf>
    <xf numFmtId="0" fontId="36" fillId="25" borderId="11" xfId="0" applyFont="1" applyFill="1" applyBorder="1" applyAlignment="1">
      <alignment horizontal="center" vertical="top" wrapText="1"/>
    </xf>
    <xf numFmtId="0" fontId="49" fillId="0" borderId="0" xfId="0" applyFont="1" applyFill="1" applyAlignment="1">
      <alignment horizontal="center"/>
    </xf>
    <xf numFmtId="0" fontId="37" fillId="0" borderId="11" xfId="0" applyFont="1" applyFill="1" applyBorder="1"/>
    <xf numFmtId="0" fontId="49" fillId="0" borderId="0" xfId="0" applyFont="1" applyFill="1" applyAlignment="1">
      <alignment horizontal="center"/>
    </xf>
    <xf numFmtId="0" fontId="49" fillId="0" borderId="11" xfId="0" applyFont="1" applyFill="1" applyBorder="1" applyAlignment="1"/>
    <xf numFmtId="0" fontId="43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49" fontId="49" fillId="0" borderId="11" xfId="0" applyNumberFormat="1" applyFont="1" applyFill="1" applyBorder="1" applyAlignment="1">
      <alignment wrapText="1"/>
    </xf>
    <xf numFmtId="49" fontId="50" fillId="0" borderId="11" xfId="0" quotePrefix="1" applyNumberFormat="1" applyFont="1" applyFill="1" applyBorder="1"/>
    <xf numFmtId="0" fontId="49" fillId="0" borderId="11" xfId="0" applyFont="1" applyFill="1" applyBorder="1"/>
    <xf numFmtId="0" fontId="50" fillId="0" borderId="11" xfId="0" applyFont="1" applyFill="1" applyBorder="1"/>
    <xf numFmtId="0" fontId="51" fillId="0" borderId="11" xfId="0" applyFont="1" applyFill="1" applyBorder="1"/>
    <xf numFmtId="3" fontId="49" fillId="0" borderId="11" xfId="0" applyNumberFormat="1" applyFont="1" applyFill="1" applyBorder="1"/>
    <xf numFmtId="0" fontId="58" fillId="0" borderId="11" xfId="0" applyFont="1" applyFill="1" applyBorder="1"/>
    <xf numFmtId="3" fontId="58" fillId="0" borderId="11" xfId="0" applyNumberFormat="1" applyFont="1" applyFill="1" applyBorder="1"/>
    <xf numFmtId="3" fontId="50" fillId="0" borderId="11" xfId="0" applyNumberFormat="1" applyFont="1" applyFill="1" applyBorder="1"/>
    <xf numFmtId="0" fontId="52" fillId="0" borderId="11" xfId="0" applyFont="1" applyFill="1" applyBorder="1"/>
    <xf numFmtId="3" fontId="59" fillId="0" borderId="11" xfId="0" applyNumberFormat="1" applyFont="1" applyFill="1" applyBorder="1"/>
    <xf numFmtId="0" fontId="50" fillId="0" borderId="0" xfId="0" applyFont="1" applyFill="1" applyAlignment="1"/>
    <xf numFmtId="3" fontId="49" fillId="0" borderId="0" xfId="0" applyNumberFormat="1" applyFont="1" applyFill="1" applyAlignment="1">
      <alignment horizontal="center"/>
    </xf>
    <xf numFmtId="0" fontId="59" fillId="0" borderId="11" xfId="0" applyFont="1" applyFill="1" applyBorder="1"/>
    <xf numFmtId="3" fontId="51" fillId="0" borderId="11" xfId="0" applyNumberFormat="1" applyFont="1" applyFill="1" applyBorder="1"/>
    <xf numFmtId="3" fontId="50" fillId="0" borderId="52" xfId="0" applyNumberFormat="1" applyFont="1" applyFill="1" applyBorder="1" applyAlignment="1"/>
    <xf numFmtId="0" fontId="50" fillId="0" borderId="52" xfId="0" applyFont="1" applyFill="1" applyBorder="1" applyAlignment="1"/>
    <xf numFmtId="3" fontId="60" fillId="0" borderId="11" xfId="0" applyNumberFormat="1" applyFont="1" applyFill="1" applyBorder="1"/>
    <xf numFmtId="3" fontId="61" fillId="0" borderId="11" xfId="0" applyNumberFormat="1" applyFont="1" applyFill="1" applyBorder="1"/>
    <xf numFmtId="0" fontId="50" fillId="0" borderId="0" xfId="0" applyFont="1" applyFill="1"/>
    <xf numFmtId="0" fontId="58" fillId="0" borderId="0" xfId="0" applyFont="1" applyFill="1"/>
    <xf numFmtId="0" fontId="50" fillId="0" borderId="16" xfId="0" applyFont="1" applyFill="1" applyBorder="1"/>
    <xf numFmtId="0" fontId="58" fillId="0" borderId="16" xfId="0" applyFont="1" applyFill="1" applyBorder="1"/>
    <xf numFmtId="0" fontId="50" fillId="0" borderId="31" xfId="0" applyFont="1" applyFill="1" applyBorder="1"/>
    <xf numFmtId="0" fontId="58" fillId="0" borderId="31" xfId="0" applyFont="1" applyFill="1" applyBorder="1"/>
    <xf numFmtId="0" fontId="49" fillId="0" borderId="76" xfId="0" applyFont="1" applyFill="1" applyBorder="1"/>
    <xf numFmtId="0" fontId="59" fillId="0" borderId="77" xfId="0" applyFont="1" applyFill="1" applyBorder="1"/>
    <xf numFmtId="0" fontId="49" fillId="0" borderId="77" xfId="0" applyFont="1" applyFill="1" applyBorder="1"/>
    <xf numFmtId="3" fontId="49" fillId="0" borderId="78" xfId="0" applyNumberFormat="1" applyFont="1" applyFill="1" applyBorder="1"/>
    <xf numFmtId="0" fontId="60" fillId="0" borderId="11" xfId="0" applyFont="1" applyFill="1" applyBorder="1"/>
    <xf numFmtId="0" fontId="50" fillId="0" borderId="11" xfId="0" applyFont="1" applyFill="1" applyBorder="1" applyAlignment="1">
      <alignment wrapText="1"/>
    </xf>
    <xf numFmtId="0" fontId="49" fillId="0" borderId="11" xfId="0" applyFont="1" applyFill="1" applyBorder="1" applyAlignment="1">
      <alignment wrapText="1"/>
    </xf>
    <xf numFmtId="0" fontId="3" fillId="0" borderId="11" xfId="0" applyFont="1" applyFill="1" applyBorder="1" applyAlignment="1">
      <alignment horizontal="left" vertical="center"/>
    </xf>
    <xf numFmtId="3" fontId="46" fillId="20" borderId="22" xfId="0" applyNumberFormat="1" applyFont="1" applyFill="1" applyBorder="1" applyAlignment="1">
      <alignment horizontal="center" vertical="center" wrapText="1"/>
    </xf>
    <xf numFmtId="0" fontId="3" fillId="20" borderId="22" xfId="0" applyFont="1" applyFill="1" applyBorder="1" applyAlignment="1">
      <alignment horizontal="center" vertical="center" wrapText="1"/>
    </xf>
    <xf numFmtId="3" fontId="3" fillId="20" borderId="22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/>
    </xf>
    <xf numFmtId="0" fontId="43" fillId="0" borderId="19" xfId="0" applyFont="1" applyFill="1" applyBorder="1" applyAlignment="1">
      <alignment horizontal="left" vertical="center"/>
    </xf>
    <xf numFmtId="3" fontId="48" fillId="0" borderId="0" xfId="0" applyNumberFormat="1" applyFont="1" applyFill="1" applyAlignment="1">
      <alignment horizontal="center" vertical="center"/>
    </xf>
    <xf numFmtId="3" fontId="44" fillId="0" borderId="0" xfId="0" applyNumberFormat="1" applyFont="1" applyFill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horizontal="right" vertical="center"/>
    </xf>
    <xf numFmtId="3" fontId="2" fillId="0" borderId="56" xfId="0" applyNumberFormat="1" applyFont="1" applyFill="1" applyBorder="1" applyAlignment="1">
      <alignment vertical="center"/>
    </xf>
    <xf numFmtId="3" fontId="2" fillId="0" borderId="49" xfId="0" applyNumberFormat="1" applyFont="1" applyFill="1" applyBorder="1" applyAlignment="1">
      <alignment horizontal="right" vertical="center"/>
    </xf>
    <xf numFmtId="0" fontId="43" fillId="0" borderId="52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43" fillId="0" borderId="40" xfId="0" applyFont="1" applyFill="1" applyBorder="1" applyAlignment="1">
      <alignment horizontal="center" vertical="top"/>
    </xf>
    <xf numFmtId="0" fontId="43" fillId="0" borderId="31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3" fontId="3" fillId="0" borderId="31" xfId="0" applyNumberFormat="1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3" fillId="24" borderId="45" xfId="0" applyFont="1" applyFill="1" applyBorder="1" applyAlignment="1">
      <alignment horizontal="center" vertical="center"/>
    </xf>
    <xf numFmtId="0" fontId="2" fillId="26" borderId="35" xfId="0" applyFont="1" applyFill="1" applyBorder="1" applyAlignment="1">
      <alignment horizontal="center" vertical="center"/>
    </xf>
    <xf numFmtId="3" fontId="2" fillId="26" borderId="11" xfId="0" applyNumberFormat="1" applyFont="1" applyFill="1" applyBorder="1" applyAlignment="1">
      <alignment vertical="center"/>
    </xf>
    <xf numFmtId="3" fontId="2" fillId="26" borderId="49" xfId="0" applyNumberFormat="1" applyFont="1" applyFill="1" applyBorder="1" applyAlignment="1">
      <alignment vertical="center"/>
    </xf>
    <xf numFmtId="0" fontId="2" fillId="26" borderId="45" xfId="0" applyFont="1" applyFill="1" applyBorder="1" applyAlignment="1">
      <alignment horizontal="center" vertical="center"/>
    </xf>
    <xf numFmtId="3" fontId="2" fillId="26" borderId="31" xfId="0" applyNumberFormat="1" applyFont="1" applyFill="1" applyBorder="1" applyAlignment="1">
      <alignment vertical="center"/>
    </xf>
    <xf numFmtId="3" fontId="2" fillId="26" borderId="56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43" fillId="0" borderId="40" xfId="0" applyFont="1" applyFill="1" applyBorder="1" applyAlignment="1">
      <alignment vertical="top"/>
    </xf>
    <xf numFmtId="0" fontId="2" fillId="0" borderId="31" xfId="0" applyFont="1" applyFill="1" applyBorder="1" applyAlignment="1">
      <alignment vertical="top"/>
    </xf>
    <xf numFmtId="0" fontId="2" fillId="27" borderId="35" xfId="0" applyFont="1" applyFill="1" applyBorder="1" applyAlignment="1">
      <alignment horizontal="left" vertical="center"/>
    </xf>
    <xf numFmtId="0" fontId="43" fillId="27" borderId="25" xfId="0" applyFont="1" applyFill="1" applyBorder="1" applyAlignment="1">
      <alignment horizontal="left" vertical="center"/>
    </xf>
    <xf numFmtId="0" fontId="43" fillId="27" borderId="52" xfId="0" applyFont="1" applyFill="1" applyBorder="1" applyAlignment="1">
      <alignment horizontal="left" vertical="center"/>
    </xf>
    <xf numFmtId="3" fontId="2" fillId="27" borderId="31" xfId="0" applyNumberFormat="1" applyFont="1" applyFill="1" applyBorder="1" applyAlignment="1">
      <alignment vertical="center"/>
    </xf>
    <xf numFmtId="0" fontId="2" fillId="27" borderId="45" xfId="0" applyFont="1" applyFill="1" applyBorder="1" applyAlignment="1">
      <alignment horizontal="center" vertical="center"/>
    </xf>
    <xf numFmtId="3" fontId="2" fillId="27" borderId="11" xfId="0" applyNumberFormat="1" applyFont="1" applyFill="1" applyBorder="1" applyAlignment="1">
      <alignment vertical="center"/>
    </xf>
    <xf numFmtId="3" fontId="2" fillId="27" borderId="56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top"/>
    </xf>
    <xf numFmtId="0" fontId="2" fillId="27" borderId="45" xfId="0" applyFont="1" applyFill="1" applyBorder="1" applyAlignment="1">
      <alignment horizontal="left" vertical="center"/>
    </xf>
    <xf numFmtId="0" fontId="3" fillId="27" borderId="25" xfId="0" applyFont="1" applyFill="1" applyBorder="1" applyAlignment="1">
      <alignment horizontal="left" vertical="center"/>
    </xf>
    <xf numFmtId="0" fontId="3" fillId="27" borderId="52" xfId="0" applyFont="1" applyFill="1" applyBorder="1" applyAlignment="1">
      <alignment horizontal="left" vertical="center"/>
    </xf>
    <xf numFmtId="0" fontId="3" fillId="27" borderId="45" xfId="0" applyFont="1" applyFill="1" applyBorder="1" applyAlignment="1">
      <alignment horizontal="center" vertical="center"/>
    </xf>
    <xf numFmtId="3" fontId="3" fillId="27" borderId="31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31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43" fillId="0" borderId="5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43" fillId="0" borderId="39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3" fontId="43" fillId="25" borderId="2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center" vertical="top"/>
    </xf>
    <xf numFmtId="0" fontId="3" fillId="0" borderId="31" xfId="0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4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43" fillId="25" borderId="16" xfId="0" applyNumberFormat="1" applyFont="1" applyFill="1" applyBorder="1" applyAlignment="1">
      <alignment horizontal="right" vertical="center"/>
    </xf>
    <xf numFmtId="3" fontId="43" fillId="25" borderId="20" xfId="0" applyNumberFormat="1" applyFont="1" applyFill="1" applyBorder="1" applyAlignment="1">
      <alignment horizontal="right" vertical="center"/>
    </xf>
    <xf numFmtId="3" fontId="43" fillId="25" borderId="37" xfId="0" applyNumberFormat="1" applyFont="1" applyFill="1" applyBorder="1" applyAlignment="1">
      <alignment horizontal="right" vertical="center"/>
    </xf>
    <xf numFmtId="3" fontId="3" fillId="27" borderId="32" xfId="0" applyNumberFormat="1" applyFont="1" applyFill="1" applyBorder="1" applyAlignment="1">
      <alignment vertical="center"/>
    </xf>
    <xf numFmtId="3" fontId="3" fillId="0" borderId="32" xfId="0" applyNumberFormat="1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3" fontId="43" fillId="25" borderId="14" xfId="0" applyNumberFormat="1" applyFont="1" applyFill="1" applyBorder="1" applyAlignment="1">
      <alignment vertical="center"/>
    </xf>
    <xf numFmtId="0" fontId="2" fillId="0" borderId="67" xfId="0" applyFont="1" applyFill="1" applyBorder="1" applyAlignment="1">
      <alignment horizontal="center" vertical="top"/>
    </xf>
    <xf numFmtId="0" fontId="43" fillId="27" borderId="11" xfId="0" applyFont="1" applyFill="1" applyBorder="1" applyAlignment="1">
      <alignment horizontal="center" vertical="center"/>
    </xf>
    <xf numFmtId="3" fontId="2" fillId="27" borderId="11" xfId="0" applyNumberFormat="1" applyFont="1" applyFill="1" applyBorder="1" applyAlignment="1">
      <alignment horizontal="right" vertical="center"/>
    </xf>
    <xf numFmtId="3" fontId="2" fillId="27" borderId="49" xfId="0" applyNumberFormat="1" applyFont="1" applyFill="1" applyBorder="1" applyAlignment="1">
      <alignment horizontal="right" vertical="center"/>
    </xf>
    <xf numFmtId="0" fontId="2" fillId="27" borderId="11" xfId="0" applyFont="1" applyFill="1" applyBorder="1" applyAlignment="1">
      <alignment horizontal="center" vertical="center"/>
    </xf>
    <xf numFmtId="3" fontId="43" fillId="27" borderId="11" xfId="0" applyNumberFormat="1" applyFont="1" applyFill="1" applyBorder="1" applyAlignment="1">
      <alignment horizontal="right" vertical="center"/>
    </xf>
    <xf numFmtId="3" fontId="43" fillId="27" borderId="12" xfId="0" applyNumberFormat="1" applyFont="1" applyFill="1" applyBorder="1" applyAlignment="1">
      <alignment horizontal="right" vertical="center"/>
    </xf>
    <xf numFmtId="0" fontId="43" fillId="25" borderId="20" xfId="0" applyFont="1" applyFill="1" applyBorder="1" applyAlignment="1">
      <alignment horizontal="center" vertical="center"/>
    </xf>
    <xf numFmtId="0" fontId="2" fillId="27" borderId="11" xfId="0" applyFont="1" applyFill="1" applyBorder="1" applyAlignment="1">
      <alignment horizontal="left" vertical="center"/>
    </xf>
    <xf numFmtId="0" fontId="3" fillId="0" borderId="8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left" vertical="center"/>
    </xf>
    <xf numFmtId="3" fontId="3" fillId="0" borderId="37" xfId="0" applyNumberFormat="1" applyFont="1" applyFill="1" applyBorder="1" applyAlignment="1">
      <alignment horizontal="right" vertical="center"/>
    </xf>
    <xf numFmtId="3" fontId="43" fillId="25" borderId="13" xfId="0" applyNumberFormat="1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left" vertical="center" wrapText="1"/>
    </xf>
    <xf numFmtId="3" fontId="43" fillId="25" borderId="22" xfId="0" applyNumberFormat="1" applyFont="1" applyFill="1" applyBorder="1" applyAlignment="1">
      <alignment horizontal="right" vertical="center"/>
    </xf>
    <xf numFmtId="3" fontId="43" fillId="25" borderId="15" xfId="0" applyNumberFormat="1" applyFont="1" applyFill="1" applyBorder="1" applyAlignment="1">
      <alignment horizontal="right" vertical="center"/>
    </xf>
    <xf numFmtId="0" fontId="2" fillId="0" borderId="81" xfId="0" applyFont="1" applyFill="1" applyBorder="1" applyAlignment="1">
      <alignment vertical="center"/>
    </xf>
    <xf numFmtId="0" fontId="2" fillId="0" borderId="48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0" fontId="2" fillId="0" borderId="82" xfId="0" applyFont="1" applyFill="1" applyBorder="1" applyAlignment="1">
      <alignment vertical="center"/>
    </xf>
    <xf numFmtId="0" fontId="2" fillId="0" borderId="83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2" fillId="27" borderId="11" xfId="0" applyFont="1" applyFill="1" applyBorder="1" applyAlignment="1">
      <alignment vertical="center" wrapText="1"/>
    </xf>
    <xf numFmtId="3" fontId="2" fillId="27" borderId="12" xfId="0" applyNumberFormat="1" applyFont="1" applyFill="1" applyBorder="1" applyAlignment="1">
      <alignment horizontal="right" vertical="center"/>
    </xf>
    <xf numFmtId="0" fontId="2" fillId="27" borderId="10" xfId="0" applyFont="1" applyFill="1" applyBorder="1" applyAlignment="1">
      <alignment vertical="center" wrapText="1"/>
    </xf>
    <xf numFmtId="0" fontId="2" fillId="27" borderId="11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vertical="center"/>
    </xf>
    <xf numFmtId="0" fontId="2" fillId="27" borderId="10" xfId="0" applyFont="1" applyFill="1" applyBorder="1" applyAlignment="1">
      <alignment horizontal="left" vertical="top"/>
    </xf>
    <xf numFmtId="3" fontId="2" fillId="27" borderId="12" xfId="0" applyNumberFormat="1" applyFont="1" applyFill="1" applyBorder="1" applyAlignment="1">
      <alignment vertical="center"/>
    </xf>
    <xf numFmtId="0" fontId="2" fillId="27" borderId="10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vertical="center"/>
    </xf>
    <xf numFmtId="0" fontId="2" fillId="24" borderId="10" xfId="0" applyFont="1" applyFill="1" applyBorder="1" applyAlignment="1">
      <alignment horizontal="right" vertical="top"/>
    </xf>
    <xf numFmtId="0" fontId="2" fillId="24" borderId="11" xfId="0" applyFont="1" applyFill="1" applyBorder="1" applyAlignment="1">
      <alignment horizontal="center" vertical="center"/>
    </xf>
    <xf numFmtId="3" fontId="2" fillId="24" borderId="12" xfId="0" applyNumberFormat="1" applyFont="1" applyFill="1" applyBorder="1" applyAlignment="1">
      <alignment vertical="center"/>
    </xf>
    <xf numFmtId="165" fontId="57" fillId="0" borderId="40" xfId="0" applyNumberFormat="1" applyFont="1" applyFill="1" applyBorder="1" applyAlignment="1" applyProtection="1">
      <alignment horizontal="center" vertical="center" wrapText="1"/>
    </xf>
    <xf numFmtId="165" fontId="57" fillId="0" borderId="42" xfId="0" applyNumberFormat="1" applyFont="1" applyFill="1" applyBorder="1" applyAlignment="1" applyProtection="1">
      <alignment horizontal="center" vertical="center" wrapText="1"/>
    </xf>
    <xf numFmtId="165" fontId="31" fillId="0" borderId="11" xfId="0" quotePrefix="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1" xfId="0" quotePrefix="1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4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40" xfId="0" applyNumberFormat="1" applyFont="1" applyFill="1" applyBorder="1" applyAlignment="1" applyProtection="1">
      <alignment horizontal="right" vertical="center" wrapText="1" indent="1"/>
    </xf>
    <xf numFmtId="3" fontId="30" fillId="0" borderId="22" xfId="0" applyNumberFormat="1" applyFont="1" applyFill="1" applyBorder="1" applyAlignment="1" applyProtection="1">
      <alignment horizontal="right" vertical="center" wrapText="1" indent="1"/>
    </xf>
    <xf numFmtId="3" fontId="3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21" xfId="0" applyNumberFormat="1" applyFont="1" applyFill="1" applyBorder="1" applyAlignment="1" applyProtection="1">
      <alignment horizontal="right" vertical="center" wrapText="1" indent="1"/>
    </xf>
    <xf numFmtId="3" fontId="33" fillId="0" borderId="41" xfId="0" applyNumberFormat="1" applyFont="1" applyFill="1" applyBorder="1" applyAlignment="1" applyProtection="1">
      <alignment horizontal="right" vertical="center" wrapText="1" indent="1"/>
    </xf>
    <xf numFmtId="3" fontId="40" fillId="0" borderId="22" xfId="0" applyNumberFormat="1" applyFont="1" applyFill="1" applyBorder="1" applyAlignment="1">
      <alignment horizontal="center" vertical="center" wrapText="1"/>
    </xf>
    <xf numFmtId="3" fontId="40" fillId="0" borderId="15" xfId="0" applyNumberFormat="1" applyFont="1" applyFill="1" applyBorder="1" applyAlignment="1">
      <alignment horizontal="center" vertical="center" wrapText="1"/>
    </xf>
    <xf numFmtId="165" fontId="57" fillId="0" borderId="72" xfId="0" applyNumberFormat="1" applyFont="1" applyFill="1" applyBorder="1" applyAlignment="1" applyProtection="1">
      <alignment horizontal="center" vertical="center" wrapText="1"/>
    </xf>
    <xf numFmtId="165" fontId="57" fillId="0" borderId="55" xfId="0" applyNumberFormat="1" applyFont="1" applyFill="1" applyBorder="1" applyAlignment="1" applyProtection="1">
      <alignment horizontal="center" vertical="center" wrapText="1"/>
    </xf>
    <xf numFmtId="3" fontId="3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3" fontId="31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3" fontId="56" fillId="0" borderId="15" xfId="0" applyNumberFormat="1" applyFont="1" applyFill="1" applyBorder="1" applyAlignment="1" applyProtection="1">
      <alignment horizontal="right" vertical="center" wrapText="1" indent="1"/>
    </xf>
    <xf numFmtId="3" fontId="56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36" fillId="20" borderId="11" xfId="0" applyFont="1" applyFill="1" applyBorder="1" applyAlignment="1">
      <alignment horizontal="center" vertical="center" wrapText="1"/>
    </xf>
    <xf numFmtId="0" fontId="36" fillId="20" borderId="11" xfId="0" applyFont="1" applyFill="1" applyBorder="1" applyAlignment="1">
      <alignment horizontal="center" vertical="center" wrapText="1"/>
    </xf>
    <xf numFmtId="3" fontId="36" fillId="20" borderId="35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top" wrapText="1"/>
    </xf>
    <xf numFmtId="3" fontId="37" fillId="0" borderId="35" xfId="0" applyNumberFormat="1" applyFont="1" applyBorder="1" applyAlignment="1">
      <alignment horizontal="right" vertical="top" wrapText="1"/>
    </xf>
    <xf numFmtId="3" fontId="38" fillId="20" borderId="35" xfId="0" applyNumberFormat="1" applyFont="1" applyFill="1" applyBorder="1" applyAlignment="1">
      <alignment horizontal="right" vertical="center" wrapText="1"/>
    </xf>
    <xf numFmtId="3" fontId="38" fillId="22" borderId="35" xfId="0" applyNumberFormat="1" applyFont="1" applyFill="1" applyBorder="1" applyAlignment="1">
      <alignment horizontal="right" vertical="center" wrapText="1"/>
    </xf>
    <xf numFmtId="3" fontId="41" fillId="23" borderId="35" xfId="0" applyNumberFormat="1" applyFont="1" applyFill="1" applyBorder="1" applyAlignment="1">
      <alignment horizontal="right"/>
    </xf>
    <xf numFmtId="3" fontId="38" fillId="25" borderId="11" xfId="0" applyNumberFormat="1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1" borderId="11" xfId="0" applyFont="1" applyFill="1" applyBorder="1" applyAlignment="1">
      <alignment horizontal="left" vertical="center"/>
    </xf>
    <xf numFmtId="0" fontId="38" fillId="20" borderId="11" xfId="0" applyFont="1" applyFill="1" applyBorder="1" applyAlignment="1">
      <alignment horizontal="left" vertical="center" wrapText="1"/>
    </xf>
    <xf numFmtId="0" fontId="38" fillId="20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38" fillId="21" borderId="11" xfId="0" applyFont="1" applyFill="1" applyBorder="1" applyAlignment="1">
      <alignment horizontal="left" vertical="top" wrapText="1"/>
    </xf>
    <xf numFmtId="0" fontId="39" fillId="0" borderId="61" xfId="0" applyFont="1" applyBorder="1" applyAlignment="1">
      <alignment horizontal="center" vertical="center"/>
    </xf>
    <xf numFmtId="0" fontId="36" fillId="20" borderId="11" xfId="0" applyFont="1" applyFill="1" applyBorder="1" applyAlignment="1">
      <alignment horizontal="center" vertical="center" wrapText="1"/>
    </xf>
    <xf numFmtId="0" fontId="42" fillId="23" borderId="11" xfId="0" applyFont="1" applyFill="1" applyBorder="1" applyAlignment="1">
      <alignment horizontal="left"/>
    </xf>
    <xf numFmtId="0" fontId="38" fillId="22" borderId="11" xfId="0" applyFont="1" applyFill="1" applyBorder="1" applyAlignment="1">
      <alignment horizontal="left" vertical="center" wrapText="1"/>
    </xf>
    <xf numFmtId="0" fontId="36" fillId="20" borderId="80" xfId="0" applyFont="1" applyFill="1" applyBorder="1" applyAlignment="1">
      <alignment horizontal="center" vertical="center" wrapText="1"/>
    </xf>
    <xf numFmtId="0" fontId="36" fillId="20" borderId="85" xfId="0" applyFont="1" applyFill="1" applyBorder="1" applyAlignment="1">
      <alignment horizontal="center" vertical="center" wrapText="1"/>
    </xf>
    <xf numFmtId="0" fontId="36" fillId="20" borderId="53" xfId="0" applyFont="1" applyFill="1" applyBorder="1" applyAlignment="1">
      <alignment horizontal="center" vertical="center" wrapText="1"/>
    </xf>
    <xf numFmtId="0" fontId="36" fillId="20" borderId="45" xfId="0" applyFont="1" applyFill="1" applyBorder="1" applyAlignment="1">
      <alignment horizontal="center" vertical="center" wrapText="1"/>
    </xf>
    <xf numFmtId="0" fontId="36" fillId="20" borderId="61" xfId="0" applyFont="1" applyFill="1" applyBorder="1" applyAlignment="1">
      <alignment horizontal="center" vertical="center" wrapText="1"/>
    </xf>
    <xf numFmtId="0" fontId="36" fillId="20" borderId="51" xfId="0" applyFont="1" applyFill="1" applyBorder="1" applyAlignment="1">
      <alignment horizontal="center" vertical="center" wrapText="1"/>
    </xf>
    <xf numFmtId="3" fontId="36" fillId="20" borderId="35" xfId="0" applyNumberFormat="1" applyFont="1" applyFill="1" applyBorder="1" applyAlignment="1">
      <alignment horizontal="center" vertical="center" wrapText="1"/>
    </xf>
    <xf numFmtId="3" fontId="36" fillId="20" borderId="25" xfId="0" applyNumberFormat="1" applyFont="1" applyFill="1" applyBorder="1" applyAlignment="1">
      <alignment horizontal="center" vertical="center" wrapText="1"/>
    </xf>
    <xf numFmtId="3" fontId="36" fillId="20" borderId="52" xfId="0" applyNumberFormat="1" applyFont="1" applyFill="1" applyBorder="1" applyAlignment="1">
      <alignment horizontal="center" vertical="center" wrapText="1"/>
    </xf>
    <xf numFmtId="3" fontId="36" fillId="20" borderId="16" xfId="0" applyNumberFormat="1" applyFont="1" applyFill="1" applyBorder="1" applyAlignment="1">
      <alignment horizontal="center" vertical="center" wrapText="1"/>
    </xf>
    <xf numFmtId="3" fontId="36" fillId="20" borderId="31" xfId="0" applyNumberFormat="1" applyFont="1" applyFill="1" applyBorder="1" applyAlignment="1">
      <alignment horizontal="center" vertical="center" wrapText="1"/>
    </xf>
    <xf numFmtId="0" fontId="36" fillId="20" borderId="16" xfId="0" applyFont="1" applyFill="1" applyBorder="1" applyAlignment="1">
      <alignment horizontal="center" vertical="center" wrapText="1"/>
    </xf>
    <xf numFmtId="0" fontId="36" fillId="20" borderId="3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38" fillId="22" borderId="45" xfId="0" applyFont="1" applyFill="1" applyBorder="1" applyAlignment="1">
      <alignment horizontal="left" vertical="center" wrapText="1"/>
    </xf>
    <xf numFmtId="0" fontId="38" fillId="22" borderId="61" xfId="0" applyFont="1" applyFill="1" applyBorder="1" applyAlignment="1">
      <alignment horizontal="left" vertical="center" wrapText="1"/>
    </xf>
    <xf numFmtId="0" fontId="38" fillId="22" borderId="51" xfId="0" applyFont="1" applyFill="1" applyBorder="1" applyAlignment="1">
      <alignment horizontal="left" vertical="center" wrapText="1"/>
    </xf>
    <xf numFmtId="0" fontId="41" fillId="23" borderId="11" xfId="0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39" fillId="0" borderId="61" xfId="0" applyFont="1" applyBorder="1" applyAlignment="1">
      <alignment horizontal="center"/>
    </xf>
    <xf numFmtId="0" fontId="36" fillId="20" borderId="35" xfId="0" applyFont="1" applyFill="1" applyBorder="1" applyAlignment="1">
      <alignment horizontal="center" vertical="center" wrapText="1"/>
    </xf>
    <xf numFmtId="0" fontId="36" fillId="20" borderId="52" xfId="0" applyFont="1" applyFill="1" applyBorder="1" applyAlignment="1">
      <alignment horizontal="center" vertical="center" wrapText="1"/>
    </xf>
    <xf numFmtId="0" fontId="36" fillId="20" borderId="25" xfId="0" applyFont="1" applyFill="1" applyBorder="1" applyAlignment="1">
      <alignment horizontal="center" vertical="center" wrapText="1"/>
    </xf>
    <xf numFmtId="0" fontId="36" fillId="25" borderId="11" xfId="0" applyFont="1" applyFill="1" applyBorder="1" applyAlignment="1">
      <alignment horizontal="center" vertical="top" wrapText="1"/>
    </xf>
    <xf numFmtId="0" fontId="0" fillId="25" borderId="11" xfId="0" applyFont="1" applyFill="1" applyBorder="1"/>
    <xf numFmtId="0" fontId="41" fillId="0" borderId="0" xfId="0" applyFont="1" applyAlignment="1">
      <alignment horizontal="center"/>
    </xf>
    <xf numFmtId="165" fontId="27" fillId="0" borderId="62" xfId="0" applyNumberFormat="1" applyFont="1" applyFill="1" applyBorder="1" applyAlignment="1" applyProtection="1">
      <alignment horizontal="center" vertical="center" wrapText="1"/>
    </xf>
    <xf numFmtId="165" fontId="27" fillId="0" borderId="58" xfId="0" applyNumberFormat="1" applyFont="1" applyFill="1" applyBorder="1" applyAlignment="1" applyProtection="1">
      <alignment horizontal="center" vertical="center" wrapText="1"/>
    </xf>
    <xf numFmtId="165" fontId="27" fillId="0" borderId="63" xfId="0" applyNumberFormat="1" applyFont="1" applyFill="1" applyBorder="1" applyAlignment="1" applyProtection="1">
      <alignment horizontal="center" vertical="center" wrapText="1"/>
    </xf>
    <xf numFmtId="165" fontId="27" fillId="0" borderId="64" xfId="0" applyNumberFormat="1" applyFont="1" applyFill="1" applyBorder="1" applyAlignment="1" applyProtection="1">
      <alignment horizontal="center" vertical="center" wrapText="1"/>
    </xf>
    <xf numFmtId="0" fontId="2" fillId="20" borderId="60" xfId="0" applyFont="1" applyFill="1" applyBorder="1" applyAlignment="1">
      <alignment horizontal="left" vertical="center"/>
    </xf>
    <xf numFmtId="0" fontId="2" fillId="20" borderId="50" xfId="0" applyFont="1" applyFill="1" applyBorder="1" applyAlignment="1">
      <alignment horizontal="left" vertical="center"/>
    </xf>
    <xf numFmtId="0" fontId="2" fillId="20" borderId="24" xfId="0" applyFont="1" applyFill="1" applyBorder="1" applyAlignment="1">
      <alignment horizontal="left" vertical="center"/>
    </xf>
    <xf numFmtId="0" fontId="2" fillId="20" borderId="52" xfId="0" applyFont="1" applyFill="1" applyBorder="1" applyAlignment="1">
      <alignment horizontal="left" vertical="center"/>
    </xf>
    <xf numFmtId="0" fontId="2" fillId="20" borderId="65" xfId="0" applyFont="1" applyFill="1" applyBorder="1" applyAlignment="1">
      <alignment horizontal="left" vertical="center"/>
    </xf>
    <xf numFmtId="0" fontId="2" fillId="20" borderId="66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0" fontId="2" fillId="20" borderId="83" xfId="0" applyFont="1" applyFill="1" applyBorder="1" applyAlignment="1">
      <alignment horizontal="center" vertical="center" wrapText="1"/>
    </xf>
    <xf numFmtId="0" fontId="2" fillId="20" borderId="26" xfId="0" applyFont="1" applyFill="1" applyBorder="1" applyAlignment="1">
      <alignment horizontal="center" vertical="center" wrapText="1"/>
    </xf>
    <xf numFmtId="0" fontId="2" fillId="20" borderId="17" xfId="0" applyFont="1" applyFill="1" applyBorder="1" applyAlignment="1">
      <alignment horizontal="center" vertical="center" wrapText="1"/>
    </xf>
    <xf numFmtId="0" fontId="2" fillId="20" borderId="18" xfId="0" applyFont="1" applyFill="1" applyBorder="1" applyAlignment="1">
      <alignment horizontal="center" vertical="center" wrapText="1"/>
    </xf>
    <xf numFmtId="0" fontId="2" fillId="20" borderId="84" xfId="0" applyFont="1" applyFill="1" applyBorder="1" applyAlignment="1">
      <alignment horizontal="center" vertical="center" wrapText="1"/>
    </xf>
    <xf numFmtId="0" fontId="2" fillId="20" borderId="21" xfId="0" applyFont="1" applyFill="1" applyBorder="1" applyAlignment="1">
      <alignment horizontal="center" vertical="center" wrapText="1"/>
    </xf>
    <xf numFmtId="3" fontId="2" fillId="20" borderId="84" xfId="0" applyNumberFormat="1" applyFont="1" applyFill="1" applyBorder="1" applyAlignment="1">
      <alignment horizontal="center" vertical="center" wrapText="1"/>
    </xf>
    <xf numFmtId="3" fontId="2" fillId="20" borderId="21" xfId="0" applyNumberFormat="1" applyFont="1" applyFill="1" applyBorder="1" applyAlignment="1">
      <alignment horizontal="center" vertical="center" wrapText="1"/>
    </xf>
    <xf numFmtId="3" fontId="38" fillId="20" borderId="84" xfId="0" applyNumberFormat="1" applyFont="1" applyFill="1" applyBorder="1" applyAlignment="1">
      <alignment horizontal="center" vertical="center" wrapText="1"/>
    </xf>
    <xf numFmtId="3" fontId="38" fillId="20" borderId="21" xfId="0" applyNumberFormat="1" applyFont="1" applyFill="1" applyBorder="1" applyAlignment="1">
      <alignment horizontal="center" vertical="center" wrapText="1"/>
    </xf>
    <xf numFmtId="3" fontId="38" fillId="20" borderId="74" xfId="0" applyNumberFormat="1" applyFont="1" applyFill="1" applyBorder="1" applyAlignment="1">
      <alignment horizontal="center" vertical="center" wrapText="1"/>
    </xf>
    <xf numFmtId="3" fontId="38" fillId="20" borderId="14" xfId="0" applyNumberFormat="1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left" vertical="center"/>
    </xf>
    <xf numFmtId="0" fontId="43" fillId="0" borderId="19" xfId="0" applyFont="1" applyFill="1" applyBorder="1" applyAlignment="1">
      <alignment horizontal="left" vertical="center"/>
    </xf>
    <xf numFmtId="0" fontId="43" fillId="0" borderId="48" xfId="0" applyFont="1" applyFill="1" applyBorder="1" applyAlignment="1">
      <alignment horizontal="left" vertical="center"/>
    </xf>
    <xf numFmtId="0" fontId="2" fillId="25" borderId="69" xfId="0" applyFont="1" applyFill="1" applyBorder="1" applyAlignment="1">
      <alignment horizontal="left" vertical="center"/>
    </xf>
    <xf numFmtId="0" fontId="43" fillId="25" borderId="70" xfId="0" applyFont="1" applyFill="1" applyBorder="1" applyAlignment="1">
      <alignment horizontal="left" vertical="center"/>
    </xf>
    <xf numFmtId="0" fontId="43" fillId="25" borderId="66" xfId="0" applyFont="1" applyFill="1" applyBorder="1" applyAlignment="1">
      <alignment horizontal="left" vertical="center"/>
    </xf>
    <xf numFmtId="0" fontId="2" fillId="27" borderId="35" xfId="0" applyFont="1" applyFill="1" applyBorder="1" applyAlignment="1">
      <alignment horizontal="center" vertical="center"/>
    </xf>
    <xf numFmtId="0" fontId="43" fillId="27" borderId="25" xfId="0" applyFont="1" applyFill="1" applyBorder="1" applyAlignment="1">
      <alignment horizontal="center" vertical="center"/>
    </xf>
    <xf numFmtId="0" fontId="43" fillId="27" borderId="52" xfId="0" applyFont="1" applyFill="1" applyBorder="1" applyAlignment="1">
      <alignment horizontal="center" vertical="center"/>
    </xf>
    <xf numFmtId="0" fontId="2" fillId="20" borderId="60" xfId="0" applyFont="1" applyFill="1" applyBorder="1" applyAlignment="1">
      <alignment horizontal="center" vertical="center"/>
    </xf>
    <xf numFmtId="0" fontId="2" fillId="20" borderId="55" xfId="0" applyFont="1" applyFill="1" applyBorder="1" applyAlignment="1">
      <alignment horizontal="center" vertical="center"/>
    </xf>
    <xf numFmtId="0" fontId="2" fillId="20" borderId="50" xfId="0" applyFont="1" applyFill="1" applyBorder="1" applyAlignment="1">
      <alignment horizontal="center" vertical="center"/>
    </xf>
    <xf numFmtId="0" fontId="43" fillId="0" borderId="39" xfId="0" applyFont="1" applyFill="1" applyBorder="1" applyAlignment="1">
      <alignment horizontal="center" vertical="top"/>
    </xf>
    <xf numFmtId="0" fontId="43" fillId="20" borderId="16" xfId="0" applyFont="1" applyFill="1" applyBorder="1" applyAlignment="1">
      <alignment horizontal="left" vertical="center"/>
    </xf>
    <xf numFmtId="0" fontId="2" fillId="27" borderId="35" xfId="0" applyFont="1" applyFill="1" applyBorder="1" applyAlignment="1">
      <alignment horizontal="left" vertical="center"/>
    </xf>
    <xf numFmtId="0" fontId="43" fillId="27" borderId="25" xfId="0" applyFont="1" applyFill="1" applyBorder="1" applyAlignment="1">
      <alignment horizontal="left" vertical="center"/>
    </xf>
    <xf numFmtId="0" fontId="43" fillId="27" borderId="52" xfId="0" applyFont="1" applyFill="1" applyBorder="1" applyAlignment="1">
      <alignment horizontal="left" vertical="center"/>
    </xf>
    <xf numFmtId="0" fontId="43" fillId="20" borderId="69" xfId="0" applyFont="1" applyFill="1" applyBorder="1" applyAlignment="1">
      <alignment horizontal="left" vertical="center"/>
    </xf>
    <xf numFmtId="0" fontId="43" fillId="20" borderId="70" xfId="0" applyFont="1" applyFill="1" applyBorder="1" applyAlignment="1">
      <alignment horizontal="left" vertical="center"/>
    </xf>
    <xf numFmtId="0" fontId="43" fillId="20" borderId="66" xfId="0" applyFont="1" applyFill="1" applyBorder="1" applyAlignment="1">
      <alignment horizontal="left" vertical="center"/>
    </xf>
    <xf numFmtId="0" fontId="2" fillId="26" borderId="35" xfId="0" applyFont="1" applyFill="1" applyBorder="1" applyAlignment="1">
      <alignment horizontal="left" vertical="center"/>
    </xf>
    <xf numFmtId="0" fontId="43" fillId="26" borderId="25" xfId="0" applyFont="1" applyFill="1" applyBorder="1" applyAlignment="1">
      <alignment horizontal="left" vertical="center"/>
    </xf>
    <xf numFmtId="0" fontId="43" fillId="26" borderId="52" xfId="0" applyFont="1" applyFill="1" applyBorder="1" applyAlignment="1">
      <alignment horizontal="left" vertical="center"/>
    </xf>
    <xf numFmtId="0" fontId="43" fillId="0" borderId="67" xfId="0" applyFont="1" applyFill="1" applyBorder="1" applyAlignment="1">
      <alignment horizontal="center" vertical="top"/>
    </xf>
    <xf numFmtId="0" fontId="43" fillId="0" borderId="79" xfId="0" applyFont="1" applyFill="1" applyBorder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0" fontId="3" fillId="20" borderId="27" xfId="0" applyFont="1" applyFill="1" applyBorder="1" applyAlignment="1">
      <alignment horizontal="center" vertical="center" wrapText="1"/>
    </xf>
    <xf numFmtId="0" fontId="3" fillId="20" borderId="22" xfId="0" applyFont="1" applyFill="1" applyBorder="1" applyAlignment="1">
      <alignment horizontal="center" vertical="center" wrapText="1"/>
    </xf>
    <xf numFmtId="0" fontId="43" fillId="0" borderId="68" xfId="0" applyFont="1" applyFill="1" applyBorder="1" applyAlignment="1">
      <alignment horizontal="center" vertical="top"/>
    </xf>
    <xf numFmtId="0" fontId="43" fillId="27" borderId="35" xfId="0" applyFont="1" applyFill="1" applyBorder="1" applyAlignment="1">
      <alignment horizontal="left" vertical="center"/>
    </xf>
    <xf numFmtId="49" fontId="2" fillId="20" borderId="67" xfId="0" applyNumberFormat="1" applyFont="1" applyFill="1" applyBorder="1" applyAlignment="1">
      <alignment horizontal="center" vertical="center" wrapText="1"/>
    </xf>
    <xf numFmtId="49" fontId="2" fillId="20" borderId="68" xfId="0" applyNumberFormat="1" applyFont="1" applyFill="1" applyBorder="1" applyAlignment="1">
      <alignment horizontal="center" vertical="center" wrapText="1"/>
    </xf>
    <xf numFmtId="0" fontId="2" fillId="20" borderId="71" xfId="0" applyFont="1" applyFill="1" applyBorder="1" applyAlignment="1">
      <alignment horizontal="center" vertical="center" wrapText="1"/>
    </xf>
    <xf numFmtId="0" fontId="2" fillId="20" borderId="59" xfId="0" applyFont="1" applyFill="1" applyBorder="1" applyAlignment="1">
      <alignment horizontal="center" vertical="center" wrapText="1"/>
    </xf>
    <xf numFmtId="0" fontId="2" fillId="20" borderId="27" xfId="0" applyFont="1" applyFill="1" applyBorder="1" applyAlignment="1">
      <alignment horizontal="center" vertical="center" wrapText="1"/>
    </xf>
    <xf numFmtId="0" fontId="2" fillId="20" borderId="72" xfId="0" applyFont="1" applyFill="1" applyBorder="1" applyAlignment="1">
      <alignment horizontal="center" vertical="center" wrapText="1"/>
    </xf>
    <xf numFmtId="0" fontId="2" fillId="20" borderId="44" xfId="0" applyFont="1" applyFill="1" applyBorder="1" applyAlignment="1">
      <alignment horizontal="center" vertical="center" wrapText="1"/>
    </xf>
    <xf numFmtId="0" fontId="2" fillId="20" borderId="73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vertical="center" wrapText="1"/>
    </xf>
    <xf numFmtId="0" fontId="2" fillId="20" borderId="36" xfId="0" applyFont="1" applyFill="1" applyBorder="1" applyAlignment="1">
      <alignment horizontal="center" vertical="center" wrapText="1"/>
    </xf>
    <xf numFmtId="0" fontId="2" fillId="20" borderId="53" xfId="0" applyFont="1" applyFill="1" applyBorder="1" applyAlignment="1">
      <alignment horizontal="center" vertical="center" wrapText="1"/>
    </xf>
    <xf numFmtId="0" fontId="2" fillId="2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 wrapText="1"/>
    </xf>
    <xf numFmtId="0" fontId="0" fillId="0" borderId="28" xfId="0" applyBorder="1"/>
    <xf numFmtId="0" fontId="3" fillId="0" borderId="60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37" fillId="0" borderId="0" xfId="0" applyFont="1" applyFill="1" applyAlignment="1"/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36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7"/>
    <pageSetUpPr fitToPage="1"/>
  </sheetPr>
  <dimension ref="A1:N59"/>
  <sheetViews>
    <sheetView tabSelected="1" zoomScaleNormal="100" workbookViewId="0">
      <selection activeCell="C30" sqref="C30"/>
    </sheetView>
  </sheetViews>
  <sheetFormatPr defaultRowHeight="12.75" x14ac:dyDescent="0.2"/>
  <cols>
    <col min="1" max="1" width="3.7109375" customWidth="1"/>
    <col min="2" max="2" width="3.140625" customWidth="1"/>
    <col min="3" max="3" width="54.5703125" bestFit="1" customWidth="1"/>
    <col min="4" max="4" width="8.7109375" customWidth="1"/>
    <col min="5" max="5" width="18.5703125" customWidth="1"/>
    <col min="6" max="8" width="15.7109375" customWidth="1"/>
    <col min="9" max="9" width="16.85546875" customWidth="1"/>
    <col min="10" max="12" width="14.28515625" style="108" customWidth="1"/>
  </cols>
  <sheetData>
    <row r="1" spans="1:14" ht="21.75" customHeight="1" x14ac:dyDescent="0.2">
      <c r="A1" s="458" t="s">
        <v>461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4" ht="28.5" customHeight="1" x14ac:dyDescent="0.2">
      <c r="A2" s="464" t="s">
        <v>53</v>
      </c>
      <c r="B2" s="464"/>
      <c r="C2" s="464"/>
      <c r="D2" s="464"/>
      <c r="E2" s="464"/>
      <c r="F2" s="464"/>
      <c r="G2" s="464"/>
      <c r="H2" s="464"/>
      <c r="I2" s="464"/>
      <c r="J2" s="464"/>
      <c r="K2"/>
      <c r="L2"/>
    </row>
    <row r="3" spans="1:14" ht="36.75" customHeight="1" x14ac:dyDescent="0.2">
      <c r="A3" s="465" t="s">
        <v>25</v>
      </c>
      <c r="B3" s="465"/>
      <c r="C3" s="465"/>
      <c r="D3" s="224" t="s">
        <v>478</v>
      </c>
      <c r="E3" s="110" t="s">
        <v>160</v>
      </c>
      <c r="F3" s="110" t="s">
        <v>486</v>
      </c>
      <c r="G3" s="110" t="s">
        <v>487</v>
      </c>
      <c r="H3" s="110" t="s">
        <v>488</v>
      </c>
      <c r="I3" s="110" t="s">
        <v>217</v>
      </c>
      <c r="J3" s="110" t="s">
        <v>218</v>
      </c>
      <c r="K3" s="110" t="s">
        <v>457</v>
      </c>
      <c r="L3" s="110" t="s">
        <v>456</v>
      </c>
    </row>
    <row r="4" spans="1:14" ht="17.25" customHeight="1" x14ac:dyDescent="0.2">
      <c r="A4" s="462" t="s">
        <v>26</v>
      </c>
      <c r="B4" s="111"/>
      <c r="C4" s="112" t="s">
        <v>161</v>
      </c>
      <c r="D4" s="112" t="s">
        <v>479</v>
      </c>
      <c r="E4" s="113">
        <v>12583447</v>
      </c>
      <c r="F4" s="113">
        <v>0</v>
      </c>
      <c r="G4" s="113">
        <v>0</v>
      </c>
      <c r="H4" s="113">
        <f>I4-E4-F4-G4</f>
        <v>1603160</v>
      </c>
      <c r="I4" s="113">
        <v>14186607</v>
      </c>
      <c r="J4" s="113">
        <v>14186607</v>
      </c>
      <c r="K4" s="113">
        <f>J4/I4*100</f>
        <v>100</v>
      </c>
      <c r="L4" s="113">
        <v>13399183</v>
      </c>
      <c r="N4" s="229"/>
    </row>
    <row r="5" spans="1:14" ht="25.5" x14ac:dyDescent="0.2">
      <c r="A5" s="462"/>
      <c r="B5" s="111"/>
      <c r="C5" s="112" t="s">
        <v>162</v>
      </c>
      <c r="D5" s="112" t="s">
        <v>480</v>
      </c>
      <c r="E5" s="113">
        <v>0</v>
      </c>
      <c r="F5" s="113">
        <v>0</v>
      </c>
      <c r="G5" s="113">
        <v>0</v>
      </c>
      <c r="H5" s="113">
        <f t="shared" ref="H5:H9" si="0">I5-E5-F5-G5</f>
        <v>0</v>
      </c>
      <c r="I5" s="113">
        <v>0</v>
      </c>
      <c r="J5" s="113">
        <f t="shared" ref="J5:L5" si="1">+I5</f>
        <v>0</v>
      </c>
      <c r="K5" s="113">
        <v>0</v>
      </c>
      <c r="L5" s="113">
        <f t="shared" si="1"/>
        <v>0</v>
      </c>
      <c r="N5" s="229"/>
    </row>
    <row r="6" spans="1:14" ht="25.5" x14ac:dyDescent="0.2">
      <c r="A6" s="462"/>
      <c r="B6" s="111"/>
      <c r="C6" s="112" t="s">
        <v>163</v>
      </c>
      <c r="D6" s="112" t="s">
        <v>481</v>
      </c>
      <c r="E6" s="113">
        <v>14437887</v>
      </c>
      <c r="F6" s="113">
        <v>0</v>
      </c>
      <c r="G6" s="113">
        <v>0</v>
      </c>
      <c r="H6" s="113">
        <f t="shared" si="0"/>
        <v>1049936</v>
      </c>
      <c r="I6" s="113">
        <v>15487823</v>
      </c>
      <c r="J6" s="113">
        <v>15487823</v>
      </c>
      <c r="K6" s="113">
        <f t="shared" ref="K6:K9" si="2">J6/I6*100</f>
        <v>100</v>
      </c>
      <c r="L6" s="113">
        <v>16110871</v>
      </c>
      <c r="N6" s="229"/>
    </row>
    <row r="7" spans="1:14" ht="14.25" customHeight="1" x14ac:dyDescent="0.2">
      <c r="A7" s="462"/>
      <c r="B7" s="111"/>
      <c r="C7" s="112" t="s">
        <v>164</v>
      </c>
      <c r="D7" s="112" t="s">
        <v>482</v>
      </c>
      <c r="E7" s="113">
        <v>2319570</v>
      </c>
      <c r="F7" s="113">
        <v>0</v>
      </c>
      <c r="G7" s="113">
        <v>0</v>
      </c>
      <c r="H7" s="113">
        <f t="shared" si="0"/>
        <v>79000</v>
      </c>
      <c r="I7" s="113">
        <v>2398570</v>
      </c>
      <c r="J7" s="113">
        <v>2398570</v>
      </c>
      <c r="K7" s="113">
        <f t="shared" si="2"/>
        <v>100</v>
      </c>
      <c r="L7" s="113">
        <v>2323200</v>
      </c>
      <c r="N7" s="229"/>
    </row>
    <row r="8" spans="1:14" ht="26.25" customHeight="1" x14ac:dyDescent="0.2">
      <c r="A8" s="462"/>
      <c r="B8" s="111"/>
      <c r="C8" s="148" t="s">
        <v>221</v>
      </c>
      <c r="D8" s="112" t="s">
        <v>483</v>
      </c>
      <c r="E8" s="113">
        <v>0</v>
      </c>
      <c r="F8" s="113">
        <v>0</v>
      </c>
      <c r="G8" s="113">
        <v>1122680</v>
      </c>
      <c r="H8" s="113">
        <f t="shared" si="0"/>
        <v>0</v>
      </c>
      <c r="I8" s="113">
        <v>1122680</v>
      </c>
      <c r="J8" s="113">
        <v>1122680</v>
      </c>
      <c r="K8" s="113">
        <f t="shared" si="2"/>
        <v>100</v>
      </c>
      <c r="L8" s="113">
        <v>3523226</v>
      </c>
      <c r="N8" s="229"/>
    </row>
    <row r="9" spans="1:14" ht="26.25" customHeight="1" x14ac:dyDescent="0.2">
      <c r="A9" s="462"/>
      <c r="B9" s="111"/>
      <c r="C9" s="112" t="s">
        <v>414</v>
      </c>
      <c r="D9" s="112" t="s">
        <v>484</v>
      </c>
      <c r="E9" s="113">
        <v>0</v>
      </c>
      <c r="F9" s="113">
        <v>125183</v>
      </c>
      <c r="G9" s="113">
        <v>210183</v>
      </c>
      <c r="H9" s="113">
        <f t="shared" si="0"/>
        <v>-125183</v>
      </c>
      <c r="I9" s="113">
        <v>210183</v>
      </c>
      <c r="J9" s="113">
        <v>210183</v>
      </c>
      <c r="K9" s="113">
        <f t="shared" si="2"/>
        <v>100</v>
      </c>
      <c r="L9" s="113">
        <v>74101</v>
      </c>
      <c r="N9" s="229"/>
    </row>
    <row r="10" spans="1:14" ht="18" customHeight="1" x14ac:dyDescent="0.2">
      <c r="A10" s="462"/>
      <c r="B10" s="463" t="s">
        <v>165</v>
      </c>
      <c r="C10" s="463"/>
      <c r="D10" s="225" t="s">
        <v>485</v>
      </c>
      <c r="E10" s="114">
        <f>SUM(E4:E9)</f>
        <v>29340904</v>
      </c>
      <c r="F10" s="114">
        <f>SUM(F4:F9)</f>
        <v>125183</v>
      </c>
      <c r="G10" s="114">
        <f>SUM(G4:G9)</f>
        <v>1332863</v>
      </c>
      <c r="H10" s="114">
        <f>I10-E10-F10-G10</f>
        <v>2606913</v>
      </c>
      <c r="I10" s="114">
        <f>SUM(I4:I9)</f>
        <v>33405863</v>
      </c>
      <c r="J10" s="114">
        <f>SUM(J4:J9)</f>
        <v>33405863</v>
      </c>
      <c r="K10" s="114">
        <f>J10/I10*100</f>
        <v>100</v>
      </c>
      <c r="L10" s="114">
        <f>SUM(L4:L9)</f>
        <v>35430581</v>
      </c>
      <c r="N10" s="229"/>
    </row>
    <row r="11" spans="1:14" x14ac:dyDescent="0.2">
      <c r="A11" s="462"/>
      <c r="B11" s="115"/>
      <c r="C11" s="116" t="s">
        <v>222</v>
      </c>
      <c r="D11" s="162" t="s">
        <v>489</v>
      </c>
      <c r="E11" s="113">
        <v>0</v>
      </c>
      <c r="F11" s="113">
        <v>0</v>
      </c>
      <c r="G11" s="113">
        <v>0</v>
      </c>
      <c r="H11" s="241">
        <f>I11-E11-F11-G11</f>
        <v>0</v>
      </c>
      <c r="I11" s="113">
        <v>0</v>
      </c>
      <c r="J11" s="113">
        <v>0</v>
      </c>
      <c r="K11" s="113">
        <v>0</v>
      </c>
      <c r="L11" s="113">
        <v>0</v>
      </c>
      <c r="N11" s="229"/>
    </row>
    <row r="12" spans="1:14" x14ac:dyDescent="0.2">
      <c r="A12" s="462"/>
      <c r="B12" s="115"/>
      <c r="C12" s="162" t="s">
        <v>223</v>
      </c>
      <c r="D12" s="162" t="s">
        <v>489</v>
      </c>
      <c r="E12" s="113">
        <v>0</v>
      </c>
      <c r="F12" s="113">
        <v>0</v>
      </c>
      <c r="G12" s="113">
        <v>0</v>
      </c>
      <c r="H12" s="241">
        <f t="shared" ref="H12:H16" si="3">I12-E12-F12-G12</f>
        <v>0</v>
      </c>
      <c r="I12" s="113">
        <v>0</v>
      </c>
      <c r="J12" s="113">
        <v>0</v>
      </c>
      <c r="K12" s="113">
        <v>0</v>
      </c>
      <c r="L12" s="113">
        <v>181100</v>
      </c>
      <c r="N12" s="229"/>
    </row>
    <row r="13" spans="1:14" x14ac:dyDescent="0.2">
      <c r="A13" s="462"/>
      <c r="B13" s="115"/>
      <c r="C13" s="162" t="s">
        <v>415</v>
      </c>
      <c r="D13" s="162" t="s">
        <v>489</v>
      </c>
      <c r="E13" s="113">
        <v>0</v>
      </c>
      <c r="F13" s="113">
        <v>0</v>
      </c>
      <c r="G13" s="113">
        <v>0</v>
      </c>
      <c r="H13" s="241">
        <f t="shared" si="3"/>
        <v>0</v>
      </c>
      <c r="I13" s="113">
        <v>0</v>
      </c>
      <c r="J13" s="113">
        <v>0</v>
      </c>
      <c r="K13" s="113">
        <v>0</v>
      </c>
      <c r="L13" s="113">
        <v>350000</v>
      </c>
      <c r="N13" s="229"/>
    </row>
    <row r="14" spans="1:14" x14ac:dyDescent="0.2">
      <c r="A14" s="462"/>
      <c r="B14" s="115"/>
      <c r="C14" s="116" t="s">
        <v>166</v>
      </c>
      <c r="D14" s="162" t="s">
        <v>489</v>
      </c>
      <c r="E14" s="241">
        <v>104700</v>
      </c>
      <c r="F14" s="113">
        <v>0</v>
      </c>
      <c r="G14" s="113">
        <v>0</v>
      </c>
      <c r="H14" s="241">
        <f t="shared" si="3"/>
        <v>0</v>
      </c>
      <c r="I14" s="113">
        <v>104700</v>
      </c>
      <c r="J14" s="113">
        <v>104700</v>
      </c>
      <c r="K14" s="113">
        <f t="shared" ref="K14:K15" si="4">J14/I14*100</f>
        <v>100</v>
      </c>
      <c r="L14" s="113">
        <v>83600</v>
      </c>
      <c r="N14" s="229"/>
    </row>
    <row r="15" spans="1:14" x14ac:dyDescent="0.2">
      <c r="A15" s="462"/>
      <c r="B15" s="115"/>
      <c r="C15" s="116" t="s">
        <v>167</v>
      </c>
      <c r="D15" s="162" t="s">
        <v>489</v>
      </c>
      <c r="E15" s="241">
        <v>3646269</v>
      </c>
      <c r="F15" s="113">
        <v>0</v>
      </c>
      <c r="G15" s="113">
        <v>0</v>
      </c>
      <c r="H15" s="241">
        <f t="shared" si="3"/>
        <v>2240592</v>
      </c>
      <c r="I15" s="113">
        <v>5886861</v>
      </c>
      <c r="J15" s="113">
        <v>5886861</v>
      </c>
      <c r="K15" s="113">
        <f t="shared" si="4"/>
        <v>100</v>
      </c>
      <c r="L15" s="113">
        <v>3657827</v>
      </c>
      <c r="N15" s="229"/>
    </row>
    <row r="16" spans="1:14" x14ac:dyDescent="0.2">
      <c r="A16" s="462"/>
      <c r="B16" s="115"/>
      <c r="C16" s="116" t="s">
        <v>168</v>
      </c>
      <c r="D16" s="162" t="s">
        <v>489</v>
      </c>
      <c r="E16" s="113">
        <v>0</v>
      </c>
      <c r="F16" s="113">
        <v>0</v>
      </c>
      <c r="G16" s="113">
        <v>0</v>
      </c>
      <c r="H16" s="241">
        <f t="shared" si="3"/>
        <v>0</v>
      </c>
      <c r="I16" s="176"/>
      <c r="J16" s="176"/>
      <c r="K16" s="113">
        <v>0</v>
      </c>
      <c r="L16" s="113">
        <v>81532</v>
      </c>
      <c r="N16" s="229"/>
    </row>
    <row r="17" spans="1:14" s="117" customFormat="1" ht="18.75" customHeight="1" x14ac:dyDescent="0.2">
      <c r="A17" s="462"/>
      <c r="B17" s="463" t="s">
        <v>169</v>
      </c>
      <c r="C17" s="463"/>
      <c r="D17" s="225" t="s">
        <v>489</v>
      </c>
      <c r="E17" s="114">
        <f>SUM(E12:E16)</f>
        <v>3750969</v>
      </c>
      <c r="F17" s="114">
        <f>SUM(F11:F16)</f>
        <v>0</v>
      </c>
      <c r="G17" s="114">
        <f>SUM(G11:G16)</f>
        <v>0</v>
      </c>
      <c r="H17" s="114">
        <f>I17-E17-F17-G17</f>
        <v>2240592</v>
      </c>
      <c r="I17" s="114">
        <f>SUM(I11:I16)</f>
        <v>5991561</v>
      </c>
      <c r="J17" s="114">
        <f>SUM(J11:J16)</f>
        <v>5991561</v>
      </c>
      <c r="K17" s="114">
        <f>J17/I17*100</f>
        <v>100</v>
      </c>
      <c r="L17" s="114">
        <f>SUM(L11:L16)</f>
        <v>4354059</v>
      </c>
      <c r="N17" s="230"/>
    </row>
    <row r="18" spans="1:14" s="119" customFormat="1" ht="22.5" customHeight="1" x14ac:dyDescent="0.2">
      <c r="A18" s="462"/>
      <c r="B18" s="460" t="s">
        <v>170</v>
      </c>
      <c r="C18" s="460"/>
      <c r="D18" s="226" t="s">
        <v>490</v>
      </c>
      <c r="E18" s="118">
        <f t="shared" ref="E18:J18" si="5">E10+E17</f>
        <v>33091873</v>
      </c>
      <c r="F18" s="118">
        <f t="shared" si="5"/>
        <v>125183</v>
      </c>
      <c r="G18" s="118">
        <f t="shared" si="5"/>
        <v>1332863</v>
      </c>
      <c r="H18" s="118">
        <f>I18-E18-F18-G18</f>
        <v>4847505</v>
      </c>
      <c r="I18" s="118">
        <f t="shared" si="5"/>
        <v>39397424</v>
      </c>
      <c r="J18" s="118">
        <f t="shared" si="5"/>
        <v>39397424</v>
      </c>
      <c r="K18" s="118">
        <f>J18/I18*100</f>
        <v>100</v>
      </c>
      <c r="L18" s="118">
        <f>L10+L17</f>
        <v>39784640</v>
      </c>
      <c r="N18" s="231"/>
    </row>
    <row r="19" spans="1:14" x14ac:dyDescent="0.2">
      <c r="A19" s="163"/>
      <c r="B19" s="115"/>
      <c r="C19" s="162" t="s">
        <v>458</v>
      </c>
      <c r="D19" s="162" t="s">
        <v>491</v>
      </c>
      <c r="E19" s="113">
        <v>0</v>
      </c>
      <c r="F19" s="113">
        <v>0</v>
      </c>
      <c r="G19" s="113">
        <v>0</v>
      </c>
      <c r="H19" s="113">
        <f>I19-E19-F19-G19</f>
        <v>34566334</v>
      </c>
      <c r="I19" s="113">
        <v>34566334</v>
      </c>
      <c r="J19" s="113">
        <v>34566334</v>
      </c>
      <c r="K19" s="113">
        <f t="shared" ref="K19" si="6">J19/I19*100</f>
        <v>100</v>
      </c>
      <c r="L19" s="176"/>
      <c r="N19" s="229"/>
    </row>
    <row r="20" spans="1:14" s="119" customFormat="1" ht="22.5" customHeight="1" x14ac:dyDescent="0.2">
      <c r="A20" s="163" t="s">
        <v>226</v>
      </c>
      <c r="B20" s="460" t="s">
        <v>224</v>
      </c>
      <c r="C20" s="460"/>
      <c r="D20" s="226" t="s">
        <v>492</v>
      </c>
      <c r="E20" s="118">
        <f>E19</f>
        <v>0</v>
      </c>
      <c r="F20" s="118">
        <v>0</v>
      </c>
      <c r="G20" s="118">
        <v>0</v>
      </c>
      <c r="H20" s="118">
        <f>I20-E20-F20-G20</f>
        <v>34566334</v>
      </c>
      <c r="I20" s="118">
        <f>I19</f>
        <v>34566334</v>
      </c>
      <c r="J20" s="118">
        <f>J19</f>
        <v>34566334</v>
      </c>
      <c r="K20" s="118">
        <f>K19</f>
        <v>100</v>
      </c>
      <c r="L20" s="118">
        <f>L19</f>
        <v>0</v>
      </c>
      <c r="N20" s="231"/>
    </row>
    <row r="21" spans="1:14" s="117" customFormat="1" ht="12.75" customHeight="1" x14ac:dyDescent="0.2">
      <c r="A21" s="163"/>
      <c r="B21" s="459" t="s">
        <v>233</v>
      </c>
      <c r="C21" s="459"/>
      <c r="D21" s="227" t="s">
        <v>494</v>
      </c>
      <c r="E21" s="114">
        <f t="shared" ref="E21:J21" si="7">SUM(E22)</f>
        <v>0</v>
      </c>
      <c r="F21" s="114">
        <f t="shared" si="7"/>
        <v>0</v>
      </c>
      <c r="G21" s="114">
        <f t="shared" si="7"/>
        <v>0</v>
      </c>
      <c r="H21" s="114">
        <f>I21-E21-F21-G21</f>
        <v>0</v>
      </c>
      <c r="I21" s="114">
        <f t="shared" si="7"/>
        <v>0</v>
      </c>
      <c r="J21" s="114">
        <f t="shared" si="7"/>
        <v>0</v>
      </c>
      <c r="K21" s="114">
        <v>0</v>
      </c>
      <c r="L21" s="114">
        <f>SUM(L22)</f>
        <v>0</v>
      </c>
      <c r="N21" s="230"/>
    </row>
    <row r="22" spans="1:14" x14ac:dyDescent="0.2">
      <c r="A22" s="163"/>
      <c r="B22" s="165" t="s">
        <v>26</v>
      </c>
      <c r="C22" s="7" t="s">
        <v>234</v>
      </c>
      <c r="D22" s="7" t="s">
        <v>494</v>
      </c>
      <c r="E22" s="113">
        <v>0</v>
      </c>
      <c r="F22" s="113">
        <v>0</v>
      </c>
      <c r="G22" s="113">
        <v>0</v>
      </c>
      <c r="H22" s="113">
        <f>I22-E22-G22</f>
        <v>0</v>
      </c>
      <c r="I22" s="113">
        <v>0</v>
      </c>
      <c r="J22" s="113">
        <v>0</v>
      </c>
      <c r="K22" s="113">
        <v>0</v>
      </c>
      <c r="L22" s="113">
        <v>0</v>
      </c>
      <c r="N22" s="229"/>
    </row>
    <row r="23" spans="1:14" s="117" customFormat="1" x14ac:dyDescent="0.2">
      <c r="A23" s="462" t="s">
        <v>27</v>
      </c>
      <c r="B23" s="463" t="s">
        <v>399</v>
      </c>
      <c r="C23" s="463"/>
      <c r="D23" s="225" t="s">
        <v>493</v>
      </c>
      <c r="E23" s="114">
        <v>5600000</v>
      </c>
      <c r="F23" s="114">
        <v>0</v>
      </c>
      <c r="G23" s="114">
        <v>0</v>
      </c>
      <c r="H23" s="114">
        <f t="shared" ref="H23:H30" si="8">I23-E23-F23-G23</f>
        <v>1002083</v>
      </c>
      <c r="I23" s="114">
        <v>6602083</v>
      </c>
      <c r="J23" s="114">
        <v>6200235</v>
      </c>
      <c r="K23" s="114">
        <f>J23/I23*100</f>
        <v>93.91331493408974</v>
      </c>
      <c r="L23" s="114">
        <v>6084691</v>
      </c>
      <c r="N23" s="230"/>
    </row>
    <row r="24" spans="1:14" s="229" customFormat="1" x14ac:dyDescent="0.2">
      <c r="A24" s="462"/>
      <c r="B24" s="242" t="s">
        <v>26</v>
      </c>
      <c r="C24" s="235" t="s">
        <v>171</v>
      </c>
      <c r="D24" s="235" t="s">
        <v>495</v>
      </c>
      <c r="E24" s="241">
        <v>25000000</v>
      </c>
      <c r="F24" s="241">
        <v>0</v>
      </c>
      <c r="G24" s="241">
        <v>4116000</v>
      </c>
      <c r="H24" s="241">
        <f t="shared" si="8"/>
        <v>6314294</v>
      </c>
      <c r="I24" s="241">
        <v>35430294</v>
      </c>
      <c r="J24" s="241">
        <v>33746108</v>
      </c>
      <c r="K24" s="174">
        <f t="shared" ref="K24:K25" si="9">J24/I24*100</f>
        <v>95.246480314275686</v>
      </c>
      <c r="L24" s="241">
        <v>29485084</v>
      </c>
    </row>
    <row r="25" spans="1:14" s="229" customFormat="1" x14ac:dyDescent="0.2">
      <c r="A25" s="462"/>
      <c r="B25" s="242" t="s">
        <v>27</v>
      </c>
      <c r="C25" s="235" t="s">
        <v>172</v>
      </c>
      <c r="D25" s="235" t="s">
        <v>496</v>
      </c>
      <c r="E25" s="241">
        <v>7200000</v>
      </c>
      <c r="F25" s="241">
        <v>0</v>
      </c>
      <c r="G25" s="241">
        <v>0</v>
      </c>
      <c r="H25" s="241">
        <f t="shared" si="8"/>
        <v>2094521</v>
      </c>
      <c r="I25" s="241">
        <v>9294521</v>
      </c>
      <c r="J25" s="241">
        <v>7957318</v>
      </c>
      <c r="K25" s="174">
        <f t="shared" si="9"/>
        <v>85.612997162521879</v>
      </c>
      <c r="L25" s="241">
        <v>7528551</v>
      </c>
    </row>
    <row r="26" spans="1:14" x14ac:dyDescent="0.2">
      <c r="A26" s="462"/>
      <c r="B26" s="111" t="s">
        <v>28</v>
      </c>
      <c r="C26" s="112" t="s">
        <v>173</v>
      </c>
      <c r="D26" s="112" t="s">
        <v>500</v>
      </c>
      <c r="E26" s="113">
        <v>0</v>
      </c>
      <c r="F26" s="113">
        <v>0</v>
      </c>
      <c r="G26" s="113">
        <v>0</v>
      </c>
      <c r="H26" s="241">
        <f t="shared" si="8"/>
        <v>0</v>
      </c>
      <c r="I26" s="241">
        <v>0</v>
      </c>
      <c r="J26" s="241">
        <v>456000</v>
      </c>
      <c r="K26" s="174"/>
      <c r="L26" s="113">
        <v>0</v>
      </c>
      <c r="N26" s="229"/>
    </row>
    <row r="27" spans="1:14" ht="17.25" customHeight="1" x14ac:dyDescent="0.2">
      <c r="A27" s="462"/>
      <c r="B27" s="463" t="s">
        <v>174</v>
      </c>
      <c r="C27" s="463"/>
      <c r="D27" s="225" t="s">
        <v>497</v>
      </c>
      <c r="E27" s="114">
        <f t="shared" ref="E27:J27" si="10">SUM(E24:E26)</f>
        <v>32200000</v>
      </c>
      <c r="F27" s="114">
        <f t="shared" si="10"/>
        <v>0</v>
      </c>
      <c r="G27" s="114">
        <f t="shared" si="10"/>
        <v>4116000</v>
      </c>
      <c r="H27" s="114">
        <f t="shared" si="8"/>
        <v>8408815</v>
      </c>
      <c r="I27" s="114">
        <f t="shared" si="10"/>
        <v>44724815</v>
      </c>
      <c r="J27" s="114">
        <f t="shared" si="10"/>
        <v>42159426</v>
      </c>
      <c r="K27" s="114">
        <f>J27/I27*100</f>
        <v>94.264059001697376</v>
      </c>
      <c r="L27" s="114">
        <f>SUM(L24:L26)</f>
        <v>37013635</v>
      </c>
      <c r="N27" s="229"/>
    </row>
    <row r="28" spans="1:14" s="117" customFormat="1" ht="18.75" customHeight="1" x14ac:dyDescent="0.2">
      <c r="A28" s="462"/>
      <c r="B28" s="463" t="s">
        <v>175</v>
      </c>
      <c r="C28" s="463"/>
      <c r="D28" s="225" t="s">
        <v>498</v>
      </c>
      <c r="E28" s="114">
        <v>0</v>
      </c>
      <c r="F28" s="114">
        <v>126486</v>
      </c>
      <c r="G28" s="114">
        <v>134531</v>
      </c>
      <c r="H28" s="114">
        <f t="shared" si="8"/>
        <v>3320044</v>
      </c>
      <c r="I28" s="114">
        <v>3581061</v>
      </c>
      <c r="J28" s="114">
        <v>447154</v>
      </c>
      <c r="K28" s="114">
        <f>J28/I28*100</f>
        <v>12.486634547694104</v>
      </c>
      <c r="L28" s="114">
        <v>1567661</v>
      </c>
      <c r="N28" s="230"/>
    </row>
    <row r="29" spans="1:14" s="119" customFormat="1" ht="18" customHeight="1" x14ac:dyDescent="0.2">
      <c r="A29" s="462"/>
      <c r="B29" s="460" t="s">
        <v>176</v>
      </c>
      <c r="C29" s="460"/>
      <c r="D29" s="226" t="s">
        <v>499</v>
      </c>
      <c r="E29" s="118">
        <f t="shared" ref="E29:J29" si="11">E23+E27+E28</f>
        <v>37800000</v>
      </c>
      <c r="F29" s="118">
        <f t="shared" si="11"/>
        <v>126486</v>
      </c>
      <c r="G29" s="118">
        <f t="shared" si="11"/>
        <v>4250531</v>
      </c>
      <c r="H29" s="118">
        <f t="shared" si="8"/>
        <v>12730942</v>
      </c>
      <c r="I29" s="118">
        <f t="shared" si="11"/>
        <v>54907959</v>
      </c>
      <c r="J29" s="118">
        <f t="shared" si="11"/>
        <v>48806815</v>
      </c>
      <c r="K29" s="118">
        <f>K28</f>
        <v>12.486634547694104</v>
      </c>
      <c r="L29" s="118">
        <f>L23+L27+L28</f>
        <v>44665987</v>
      </c>
      <c r="N29" s="231"/>
    </row>
    <row r="30" spans="1:14" s="229" customFormat="1" x14ac:dyDescent="0.2">
      <c r="A30" s="462" t="s">
        <v>28</v>
      </c>
      <c r="B30" s="243"/>
      <c r="C30" s="235" t="s">
        <v>177</v>
      </c>
      <c r="D30" s="235" t="s">
        <v>501</v>
      </c>
      <c r="E30" s="241">
        <v>10400000</v>
      </c>
      <c r="F30" s="241">
        <v>0</v>
      </c>
      <c r="G30" s="241">
        <v>0</v>
      </c>
      <c r="H30" s="241">
        <f t="shared" si="8"/>
        <v>10696252</v>
      </c>
      <c r="I30" s="241">
        <v>21096252</v>
      </c>
      <c r="J30" s="241">
        <v>21096252</v>
      </c>
      <c r="K30" s="241">
        <f t="shared" ref="K30:K42" si="12">J30/I30*100</f>
        <v>100</v>
      </c>
      <c r="L30" s="241">
        <v>11932941</v>
      </c>
    </row>
    <row r="31" spans="1:14" x14ac:dyDescent="0.2">
      <c r="A31" s="462"/>
      <c r="B31" s="120"/>
      <c r="C31" s="112" t="s">
        <v>178</v>
      </c>
      <c r="D31" s="112" t="s">
        <v>502</v>
      </c>
      <c r="E31" s="113">
        <v>2000000</v>
      </c>
      <c r="F31" s="113">
        <v>0</v>
      </c>
      <c r="G31" s="113">
        <v>0</v>
      </c>
      <c r="H31" s="113">
        <f t="shared" ref="H31:H39" si="13">I31-E31-F31-G31</f>
        <v>-408920</v>
      </c>
      <c r="I31" s="113">
        <v>1591080</v>
      </c>
      <c r="J31" s="113">
        <v>1334026</v>
      </c>
      <c r="K31" s="241">
        <f t="shared" si="12"/>
        <v>83.84405561002589</v>
      </c>
      <c r="L31" s="113">
        <v>4952824</v>
      </c>
      <c r="N31" s="229"/>
    </row>
    <row r="32" spans="1:14" s="229" customFormat="1" x14ac:dyDescent="0.2">
      <c r="A32" s="462"/>
      <c r="B32" s="243"/>
      <c r="C32" s="235" t="s">
        <v>179</v>
      </c>
      <c r="D32" s="235" t="s">
        <v>509</v>
      </c>
      <c r="E32" s="241">
        <v>0</v>
      </c>
      <c r="F32" s="241">
        <v>0</v>
      </c>
      <c r="G32" s="241">
        <v>0</v>
      </c>
      <c r="H32" s="241">
        <f t="shared" si="13"/>
        <v>0</v>
      </c>
      <c r="I32" s="241">
        <v>0</v>
      </c>
      <c r="J32" s="241">
        <v>0</v>
      </c>
      <c r="K32" s="241">
        <v>0</v>
      </c>
      <c r="L32" s="241">
        <v>0</v>
      </c>
    </row>
    <row r="33" spans="1:14" x14ac:dyDescent="0.2">
      <c r="A33" s="462"/>
      <c r="B33" s="120"/>
      <c r="C33" s="112" t="s">
        <v>180</v>
      </c>
      <c r="D33" s="112" t="s">
        <v>503</v>
      </c>
      <c r="E33" s="113">
        <v>2000000</v>
      </c>
      <c r="F33" s="113">
        <v>0</v>
      </c>
      <c r="G33" s="113">
        <v>0</v>
      </c>
      <c r="H33" s="113">
        <f t="shared" si="13"/>
        <v>949408</v>
      </c>
      <c r="I33" s="113">
        <v>2949408</v>
      </c>
      <c r="J33" s="113">
        <v>2949408</v>
      </c>
      <c r="K33" s="113">
        <f t="shared" si="12"/>
        <v>100</v>
      </c>
      <c r="L33" s="113">
        <v>2080075</v>
      </c>
      <c r="N33" s="229"/>
    </row>
    <row r="34" spans="1:14" x14ac:dyDescent="0.2">
      <c r="A34" s="462"/>
      <c r="B34" s="120"/>
      <c r="C34" s="112" t="s">
        <v>181</v>
      </c>
      <c r="D34" s="112" t="s">
        <v>504</v>
      </c>
      <c r="E34" s="113">
        <v>700000</v>
      </c>
      <c r="F34" s="113">
        <v>0</v>
      </c>
      <c r="G34" s="113">
        <v>156941</v>
      </c>
      <c r="H34" s="113">
        <f t="shared" si="13"/>
        <v>541670</v>
      </c>
      <c r="I34" s="113">
        <v>1398611</v>
      </c>
      <c r="J34" s="113">
        <v>1352750</v>
      </c>
      <c r="K34" s="113">
        <f t="shared" si="12"/>
        <v>96.72096101060265</v>
      </c>
      <c r="L34" s="113">
        <v>761962</v>
      </c>
      <c r="N34" s="229"/>
    </row>
    <row r="35" spans="1:14" x14ac:dyDescent="0.2">
      <c r="A35" s="462"/>
      <c r="B35" s="120"/>
      <c r="C35" s="112" t="s">
        <v>182</v>
      </c>
      <c r="D35" s="112" t="s">
        <v>505</v>
      </c>
      <c r="E35" s="113">
        <v>0</v>
      </c>
      <c r="F35" s="113">
        <v>75062</v>
      </c>
      <c r="G35" s="113">
        <v>58315</v>
      </c>
      <c r="H35" s="113">
        <f t="shared" si="13"/>
        <v>48910</v>
      </c>
      <c r="I35" s="113">
        <v>182287</v>
      </c>
      <c r="J35" s="113">
        <v>182287</v>
      </c>
      <c r="K35" s="113">
        <f t="shared" si="12"/>
        <v>100</v>
      </c>
      <c r="L35" s="113">
        <v>36000</v>
      </c>
      <c r="N35" s="229"/>
    </row>
    <row r="36" spans="1:14" s="122" customFormat="1" x14ac:dyDescent="0.2">
      <c r="A36" s="462"/>
      <c r="B36" s="121"/>
      <c r="C36" s="112" t="s">
        <v>511</v>
      </c>
      <c r="D36" s="235" t="s">
        <v>510</v>
      </c>
      <c r="E36" s="113">
        <v>0</v>
      </c>
      <c r="F36" s="113">
        <v>0</v>
      </c>
      <c r="G36" s="113">
        <v>0</v>
      </c>
      <c r="H36" s="113">
        <f t="shared" si="13"/>
        <v>0</v>
      </c>
      <c r="I36" s="113">
        <v>0</v>
      </c>
      <c r="J36" s="113">
        <v>0</v>
      </c>
      <c r="K36" s="113">
        <v>0</v>
      </c>
      <c r="L36" s="113">
        <v>0</v>
      </c>
      <c r="N36" s="232"/>
    </row>
    <row r="37" spans="1:14" s="122" customFormat="1" x14ac:dyDescent="0.2">
      <c r="A37" s="462"/>
      <c r="B37" s="121"/>
      <c r="C37" s="112" t="s">
        <v>416</v>
      </c>
      <c r="D37" s="112" t="s">
        <v>506</v>
      </c>
      <c r="E37" s="113">
        <v>0</v>
      </c>
      <c r="F37" s="113">
        <v>10000</v>
      </c>
      <c r="G37" s="113">
        <v>0</v>
      </c>
      <c r="H37" s="113">
        <f t="shared" si="13"/>
        <v>117183</v>
      </c>
      <c r="I37" s="113">
        <v>127183</v>
      </c>
      <c r="J37" s="113">
        <v>127183</v>
      </c>
      <c r="K37" s="113">
        <f t="shared" si="12"/>
        <v>100</v>
      </c>
      <c r="L37" s="113">
        <v>78629</v>
      </c>
      <c r="N37" s="232"/>
    </row>
    <row r="38" spans="1:14" s="122" customFormat="1" x14ac:dyDescent="0.2">
      <c r="A38" s="462"/>
      <c r="B38" s="121"/>
      <c r="C38" s="112" t="s">
        <v>417</v>
      </c>
      <c r="D38" s="235" t="s">
        <v>512</v>
      </c>
      <c r="E38" s="113">
        <v>0</v>
      </c>
      <c r="F38" s="113">
        <v>0</v>
      </c>
      <c r="G38" s="113">
        <v>0</v>
      </c>
      <c r="H38" s="113">
        <f t="shared" si="13"/>
        <v>0</v>
      </c>
      <c r="I38" s="113">
        <v>0</v>
      </c>
      <c r="J38" s="113">
        <v>0</v>
      </c>
      <c r="K38" s="113">
        <v>0</v>
      </c>
      <c r="L38" s="113">
        <v>0</v>
      </c>
      <c r="N38" s="232"/>
    </row>
    <row r="39" spans="1:14" x14ac:dyDescent="0.2">
      <c r="A39" s="462"/>
      <c r="B39" s="120"/>
      <c r="C39" s="112" t="s">
        <v>183</v>
      </c>
      <c r="D39" s="112" t="s">
        <v>507</v>
      </c>
      <c r="E39" s="113">
        <v>0</v>
      </c>
      <c r="F39" s="113">
        <v>1924</v>
      </c>
      <c r="G39" s="113">
        <v>28502864</v>
      </c>
      <c r="H39" s="113">
        <f t="shared" si="13"/>
        <v>2259</v>
      </c>
      <c r="I39" s="113">
        <v>28507047</v>
      </c>
      <c r="J39" s="113">
        <v>28507047</v>
      </c>
      <c r="K39" s="113">
        <f t="shared" si="12"/>
        <v>100</v>
      </c>
      <c r="L39" s="113">
        <v>125939</v>
      </c>
      <c r="N39" s="229"/>
    </row>
    <row r="40" spans="1:14" x14ac:dyDescent="0.2">
      <c r="A40" s="462"/>
      <c r="B40" s="120"/>
      <c r="C40" s="235"/>
      <c r="D40" s="235"/>
      <c r="E40" s="113"/>
      <c r="F40" s="113"/>
      <c r="G40" s="113"/>
      <c r="H40" s="113"/>
      <c r="I40" s="113"/>
      <c r="J40" s="113"/>
      <c r="K40" s="113"/>
      <c r="L40" s="113"/>
      <c r="N40" s="229"/>
    </row>
    <row r="41" spans="1:14" x14ac:dyDescent="0.2">
      <c r="A41" s="462"/>
      <c r="B41" s="461" t="s">
        <v>184</v>
      </c>
      <c r="C41" s="461"/>
      <c r="D41" s="222" t="s">
        <v>508</v>
      </c>
      <c r="E41" s="123">
        <f t="shared" ref="E41:J41" si="14">SUM(E30:E40)</f>
        <v>15100000</v>
      </c>
      <c r="F41" s="123">
        <f t="shared" si="14"/>
        <v>86986</v>
      </c>
      <c r="G41" s="123">
        <f t="shared" si="14"/>
        <v>28718120</v>
      </c>
      <c r="H41" s="123">
        <f>I41-E41-F41-G41</f>
        <v>11946762</v>
      </c>
      <c r="I41" s="123">
        <f t="shared" si="14"/>
        <v>55851868</v>
      </c>
      <c r="J41" s="123">
        <f t="shared" si="14"/>
        <v>55548953</v>
      </c>
      <c r="K41" s="118">
        <f>K40</f>
        <v>0</v>
      </c>
      <c r="L41" s="123">
        <f>SUM(L30:L40)</f>
        <v>19968370</v>
      </c>
      <c r="N41" s="229"/>
    </row>
    <row r="42" spans="1:14" ht="20.25" customHeight="1" x14ac:dyDescent="0.2">
      <c r="A42" s="462" t="s">
        <v>29</v>
      </c>
      <c r="B42" s="120"/>
      <c r="C42" s="112" t="s">
        <v>185</v>
      </c>
      <c r="D42" s="112" t="s">
        <v>513</v>
      </c>
      <c r="E42" s="113">
        <v>0</v>
      </c>
      <c r="F42" s="113">
        <v>175900</v>
      </c>
      <c r="G42" s="113">
        <v>0</v>
      </c>
      <c r="H42" s="113">
        <f>I42-E42-F42-G42</f>
        <v>240354</v>
      </c>
      <c r="I42" s="113">
        <v>416254</v>
      </c>
      <c r="J42" s="113">
        <v>416254</v>
      </c>
      <c r="K42" s="113">
        <f t="shared" si="12"/>
        <v>100</v>
      </c>
      <c r="L42" s="113">
        <v>0</v>
      </c>
      <c r="N42" s="229"/>
    </row>
    <row r="43" spans="1:14" ht="20.25" customHeight="1" x14ac:dyDescent="0.2">
      <c r="A43" s="462"/>
      <c r="B43" s="120"/>
      <c r="C43" s="112" t="s">
        <v>232</v>
      </c>
      <c r="D43" s="112" t="s">
        <v>515</v>
      </c>
      <c r="E43" s="113">
        <v>0</v>
      </c>
      <c r="F43" s="113">
        <v>0</v>
      </c>
      <c r="G43" s="113">
        <v>0</v>
      </c>
      <c r="H43" s="113">
        <f t="shared" ref="H43:H44" si="15">I43-E43-F43-G43</f>
        <v>0</v>
      </c>
      <c r="I43" s="113">
        <v>0</v>
      </c>
      <c r="J43" s="113">
        <v>0</v>
      </c>
      <c r="K43" s="113">
        <v>0</v>
      </c>
      <c r="L43" s="113">
        <v>0</v>
      </c>
      <c r="N43" s="229"/>
    </row>
    <row r="44" spans="1:14" ht="20.25" customHeight="1" x14ac:dyDescent="0.2">
      <c r="A44" s="462"/>
      <c r="B44" s="120"/>
      <c r="C44" s="112" t="s">
        <v>225</v>
      </c>
      <c r="D44" s="112" t="s">
        <v>516</v>
      </c>
      <c r="E44" s="113">
        <v>0</v>
      </c>
      <c r="F44" s="113">
        <v>0</v>
      </c>
      <c r="G44" s="113">
        <v>0</v>
      </c>
      <c r="H44" s="113">
        <f t="shared" si="15"/>
        <v>0</v>
      </c>
      <c r="I44" s="113">
        <v>0</v>
      </c>
      <c r="J44" s="113">
        <v>0</v>
      </c>
      <c r="K44" s="113">
        <v>0</v>
      </c>
      <c r="L44" s="113">
        <v>0</v>
      </c>
      <c r="N44" s="229"/>
    </row>
    <row r="45" spans="1:14" ht="16.5" customHeight="1" x14ac:dyDescent="0.2">
      <c r="A45" s="462"/>
      <c r="B45" s="461" t="s">
        <v>186</v>
      </c>
      <c r="C45" s="461"/>
      <c r="D45" s="222" t="s">
        <v>514</v>
      </c>
      <c r="E45" s="123">
        <f t="shared" ref="E45:J45" si="16">SUM(E42:E44)</f>
        <v>0</v>
      </c>
      <c r="F45" s="123">
        <f t="shared" si="16"/>
        <v>175900</v>
      </c>
      <c r="G45" s="123">
        <f t="shared" si="16"/>
        <v>0</v>
      </c>
      <c r="H45" s="123">
        <f t="shared" ref="H45:H50" si="17">I45-E45-F45-G45</f>
        <v>240354</v>
      </c>
      <c r="I45" s="123">
        <f t="shared" si="16"/>
        <v>416254</v>
      </c>
      <c r="J45" s="123">
        <f t="shared" si="16"/>
        <v>416254</v>
      </c>
      <c r="K45" s="118">
        <f>K44</f>
        <v>0</v>
      </c>
      <c r="L45" s="123">
        <f>SUM(L42:L44)</f>
        <v>0</v>
      </c>
      <c r="N45" s="229"/>
    </row>
    <row r="46" spans="1:14" x14ac:dyDescent="0.2">
      <c r="A46" s="462" t="s">
        <v>30</v>
      </c>
      <c r="B46" s="120"/>
      <c r="C46" s="235"/>
      <c r="D46" s="235"/>
      <c r="E46" s="113"/>
      <c r="F46" s="113"/>
      <c r="G46" s="113"/>
      <c r="H46" s="113"/>
      <c r="I46" s="113"/>
      <c r="J46" s="113"/>
      <c r="K46" s="113"/>
      <c r="L46" s="113"/>
      <c r="N46" s="229"/>
    </row>
    <row r="47" spans="1:14" x14ac:dyDescent="0.2">
      <c r="A47" s="462"/>
      <c r="B47" s="120"/>
      <c r="C47" s="112" t="s">
        <v>418</v>
      </c>
      <c r="D47" s="112" t="s">
        <v>517</v>
      </c>
      <c r="E47" s="113">
        <v>0</v>
      </c>
      <c r="F47" s="113">
        <v>0</v>
      </c>
      <c r="G47" s="113">
        <v>0</v>
      </c>
      <c r="H47" s="113">
        <f t="shared" si="17"/>
        <v>0</v>
      </c>
      <c r="I47" s="113">
        <v>0</v>
      </c>
      <c r="J47" s="113">
        <v>0</v>
      </c>
      <c r="K47" s="113">
        <v>0</v>
      </c>
      <c r="L47" s="113">
        <v>0</v>
      </c>
      <c r="N47" s="229"/>
    </row>
    <row r="48" spans="1:14" x14ac:dyDescent="0.2">
      <c r="A48" s="462"/>
      <c r="B48" s="461" t="s">
        <v>419</v>
      </c>
      <c r="C48" s="461"/>
      <c r="D48" s="222" t="s">
        <v>518</v>
      </c>
      <c r="E48" s="123">
        <f t="shared" ref="E48:J48" si="18">SUM(E46:E47)</f>
        <v>0</v>
      </c>
      <c r="F48" s="123">
        <f t="shared" si="18"/>
        <v>0</v>
      </c>
      <c r="G48" s="123">
        <f t="shared" si="18"/>
        <v>0</v>
      </c>
      <c r="H48" s="123">
        <f t="shared" si="17"/>
        <v>0</v>
      </c>
      <c r="I48" s="123">
        <f t="shared" si="18"/>
        <v>0</v>
      </c>
      <c r="J48" s="123">
        <f t="shared" si="18"/>
        <v>0</v>
      </c>
      <c r="K48" s="118">
        <f>K47</f>
        <v>0</v>
      </c>
      <c r="L48" s="123">
        <f>SUM(L46:L47)</f>
        <v>0</v>
      </c>
      <c r="N48" s="229"/>
    </row>
    <row r="49" spans="1:14" s="125" customFormat="1" ht="24.75" customHeight="1" x14ac:dyDescent="0.2">
      <c r="A49" s="467" t="s">
        <v>187</v>
      </c>
      <c r="B49" s="467"/>
      <c r="C49" s="467"/>
      <c r="D49" s="223" t="s">
        <v>519</v>
      </c>
      <c r="E49" s="124">
        <f t="shared" ref="E49:J49" si="19">E18+E29+E41+E45+E48+E20</f>
        <v>85991873</v>
      </c>
      <c r="F49" s="124">
        <f t="shared" si="19"/>
        <v>514555</v>
      </c>
      <c r="G49" s="124">
        <f t="shared" si="19"/>
        <v>34301514</v>
      </c>
      <c r="H49" s="124">
        <f t="shared" si="17"/>
        <v>64331897</v>
      </c>
      <c r="I49" s="124">
        <f t="shared" si="19"/>
        <v>185139839</v>
      </c>
      <c r="J49" s="124">
        <f t="shared" si="19"/>
        <v>178735780</v>
      </c>
      <c r="K49" s="124">
        <f>J49/I49*100</f>
        <v>96.540961127226637</v>
      </c>
      <c r="L49" s="124">
        <f>L18+L29+L41+L45+L48+L20</f>
        <v>104418997</v>
      </c>
      <c r="N49" s="233"/>
    </row>
    <row r="50" spans="1:14" ht="17.25" customHeight="1" x14ac:dyDescent="0.2">
      <c r="A50" s="462" t="s">
        <v>32</v>
      </c>
      <c r="B50" s="120"/>
      <c r="C50" s="112" t="s">
        <v>188</v>
      </c>
      <c r="D50" s="112" t="s">
        <v>520</v>
      </c>
      <c r="E50" s="113">
        <v>0</v>
      </c>
      <c r="F50" s="113">
        <v>0</v>
      </c>
      <c r="G50" s="113">
        <v>0</v>
      </c>
      <c r="H50" s="113">
        <f t="shared" si="17"/>
        <v>0</v>
      </c>
      <c r="I50" s="113">
        <v>0</v>
      </c>
      <c r="J50" s="113">
        <v>0</v>
      </c>
      <c r="K50" s="113">
        <v>0</v>
      </c>
      <c r="L50" s="113">
        <v>0</v>
      </c>
      <c r="N50" s="229"/>
    </row>
    <row r="51" spans="1:14" ht="18.75" customHeight="1" x14ac:dyDescent="0.2">
      <c r="A51" s="462"/>
      <c r="B51" s="461" t="s">
        <v>189</v>
      </c>
      <c r="C51" s="461"/>
      <c r="D51" s="222" t="s">
        <v>521</v>
      </c>
      <c r="E51" s="123">
        <f t="shared" ref="E51:J51" si="20">SUM(E50)</f>
        <v>0</v>
      </c>
      <c r="F51" s="123">
        <f t="shared" si="20"/>
        <v>0</v>
      </c>
      <c r="G51" s="123">
        <f t="shared" si="20"/>
        <v>0</v>
      </c>
      <c r="H51" s="123">
        <f>I51-E51-G51</f>
        <v>0</v>
      </c>
      <c r="I51" s="123">
        <f t="shared" si="20"/>
        <v>0</v>
      </c>
      <c r="J51" s="123">
        <f t="shared" si="20"/>
        <v>0</v>
      </c>
      <c r="K51" s="118">
        <v>0</v>
      </c>
      <c r="L51" s="123">
        <f>SUM(L50)</f>
        <v>0</v>
      </c>
      <c r="N51" s="229"/>
    </row>
    <row r="52" spans="1:14" ht="15" customHeight="1" x14ac:dyDescent="0.2">
      <c r="A52" s="462" t="s">
        <v>34</v>
      </c>
      <c r="B52" s="120"/>
      <c r="C52" s="112" t="s">
        <v>190</v>
      </c>
      <c r="D52" s="112" t="s">
        <v>522</v>
      </c>
      <c r="E52" s="113">
        <v>33048454</v>
      </c>
      <c r="F52" s="113">
        <v>0</v>
      </c>
      <c r="G52" s="113">
        <v>0</v>
      </c>
      <c r="H52" s="113">
        <f t="shared" ref="H52:H57" si="21">I52-E52-F52-G52</f>
        <v>0</v>
      </c>
      <c r="I52" s="113">
        <v>33048454</v>
      </c>
      <c r="J52" s="113">
        <v>33048454</v>
      </c>
      <c r="K52" s="113">
        <f>J52/I52*100</f>
        <v>100</v>
      </c>
      <c r="L52" s="113">
        <v>84118422</v>
      </c>
      <c r="N52" s="229"/>
    </row>
    <row r="53" spans="1:14" ht="17.25" customHeight="1" x14ac:dyDescent="0.2">
      <c r="A53" s="462"/>
      <c r="B53" s="461" t="s">
        <v>191</v>
      </c>
      <c r="C53" s="461"/>
      <c r="D53" s="222" t="s">
        <v>523</v>
      </c>
      <c r="E53" s="123">
        <f t="shared" ref="E53:J53" si="22">SUM(E52)</f>
        <v>33048454</v>
      </c>
      <c r="F53" s="123">
        <f t="shared" si="22"/>
        <v>0</v>
      </c>
      <c r="G53" s="123">
        <f t="shared" si="22"/>
        <v>0</v>
      </c>
      <c r="H53" s="123">
        <f t="shared" si="21"/>
        <v>0</v>
      </c>
      <c r="I53" s="123">
        <f t="shared" si="22"/>
        <v>33048454</v>
      </c>
      <c r="J53" s="123">
        <f t="shared" si="22"/>
        <v>33048454</v>
      </c>
      <c r="K53" s="118">
        <f>K52</f>
        <v>100</v>
      </c>
      <c r="L53" s="123">
        <f>SUM(L52)</f>
        <v>84118422</v>
      </c>
      <c r="N53" s="229"/>
    </row>
    <row r="54" spans="1:14" ht="15" customHeight="1" x14ac:dyDescent="0.2">
      <c r="A54" s="163"/>
      <c r="B54" s="120"/>
      <c r="C54" s="112" t="s">
        <v>227</v>
      </c>
      <c r="D54" s="112" t="s">
        <v>524</v>
      </c>
      <c r="E54" s="113">
        <v>0</v>
      </c>
      <c r="F54" s="113">
        <v>0</v>
      </c>
      <c r="G54" s="113">
        <v>0</v>
      </c>
      <c r="H54" s="113">
        <f t="shared" si="21"/>
        <v>1467523</v>
      </c>
      <c r="I54" s="113">
        <v>1467523</v>
      </c>
      <c r="J54" s="113">
        <v>1467523</v>
      </c>
      <c r="K54" s="113">
        <f>J54/I54*100</f>
        <v>100</v>
      </c>
      <c r="L54" s="113">
        <v>1173636</v>
      </c>
      <c r="N54" s="229"/>
    </row>
    <row r="55" spans="1:14" ht="17.25" customHeight="1" x14ac:dyDescent="0.2">
      <c r="A55" s="163" t="s">
        <v>35</v>
      </c>
      <c r="B55" s="461" t="s">
        <v>525</v>
      </c>
      <c r="C55" s="461"/>
      <c r="D55" s="222" t="s">
        <v>526</v>
      </c>
      <c r="E55" s="123">
        <f t="shared" ref="E55:J55" si="23">SUM(E54)</f>
        <v>0</v>
      </c>
      <c r="F55" s="123">
        <f t="shared" si="23"/>
        <v>0</v>
      </c>
      <c r="G55" s="123">
        <f t="shared" si="23"/>
        <v>0</v>
      </c>
      <c r="H55" s="123">
        <f t="shared" si="21"/>
        <v>1467523</v>
      </c>
      <c r="I55" s="123">
        <f t="shared" si="23"/>
        <v>1467523</v>
      </c>
      <c r="J55" s="123">
        <f t="shared" si="23"/>
        <v>1467523</v>
      </c>
      <c r="K55" s="118">
        <f>K54</f>
        <v>100</v>
      </c>
      <c r="L55" s="123">
        <f>SUM(L54)</f>
        <v>1173636</v>
      </c>
      <c r="N55" s="229"/>
    </row>
    <row r="56" spans="1:14" s="119" customFormat="1" ht="21.75" customHeight="1" x14ac:dyDescent="0.2">
      <c r="A56" s="467" t="s">
        <v>192</v>
      </c>
      <c r="B56" s="467"/>
      <c r="C56" s="467"/>
      <c r="D56" s="223" t="s">
        <v>527</v>
      </c>
      <c r="E56" s="124">
        <f t="shared" ref="E56:J56" si="24">E51+E53+E55</f>
        <v>33048454</v>
      </c>
      <c r="F56" s="124">
        <f t="shared" si="24"/>
        <v>0</v>
      </c>
      <c r="G56" s="124">
        <f t="shared" si="24"/>
        <v>0</v>
      </c>
      <c r="H56" s="124">
        <f t="shared" si="21"/>
        <v>1467523</v>
      </c>
      <c r="I56" s="124">
        <f t="shared" si="24"/>
        <v>34515977</v>
      </c>
      <c r="J56" s="124">
        <f t="shared" si="24"/>
        <v>34515977</v>
      </c>
      <c r="K56" s="124">
        <f>J56/I56*100</f>
        <v>100</v>
      </c>
      <c r="L56" s="124">
        <f>L51+L53+L55</f>
        <v>85292058</v>
      </c>
      <c r="N56" s="231"/>
    </row>
    <row r="57" spans="1:14" s="127" customFormat="1" ht="22.5" customHeight="1" x14ac:dyDescent="0.25">
      <c r="A57" s="466" t="s">
        <v>193</v>
      </c>
      <c r="B57" s="466"/>
      <c r="C57" s="466"/>
      <c r="D57" s="221"/>
      <c r="E57" s="126">
        <f t="shared" ref="E57:J57" si="25">E49+E56</f>
        <v>119040327</v>
      </c>
      <c r="F57" s="126">
        <f t="shared" si="25"/>
        <v>514555</v>
      </c>
      <c r="G57" s="126">
        <f t="shared" si="25"/>
        <v>34301514</v>
      </c>
      <c r="H57" s="126">
        <f t="shared" si="21"/>
        <v>65799420</v>
      </c>
      <c r="I57" s="126">
        <f t="shared" si="25"/>
        <v>219655816</v>
      </c>
      <c r="J57" s="126">
        <f t="shared" si="25"/>
        <v>213251757</v>
      </c>
      <c r="K57" s="126">
        <f>J57/I57*100</f>
        <v>97.084502875170855</v>
      </c>
      <c r="L57" s="126">
        <f>L49+L56</f>
        <v>189711055</v>
      </c>
      <c r="N57" s="234"/>
    </row>
    <row r="59" spans="1:14" x14ac:dyDescent="0.2">
      <c r="D59" s="229"/>
      <c r="E59" s="229"/>
      <c r="F59" s="229"/>
      <c r="G59" s="229"/>
      <c r="H59" s="229"/>
      <c r="I59" s="229"/>
      <c r="J59" s="244"/>
      <c r="K59" s="244"/>
      <c r="L59" s="244"/>
    </row>
  </sheetData>
  <mergeCells count="28">
    <mergeCell ref="A57:C57"/>
    <mergeCell ref="A46:A48"/>
    <mergeCell ref="B48:C48"/>
    <mergeCell ref="A49:C49"/>
    <mergeCell ref="A50:A51"/>
    <mergeCell ref="A56:C56"/>
    <mergeCell ref="A2:J2"/>
    <mergeCell ref="A3:C3"/>
    <mergeCell ref="A4:A18"/>
    <mergeCell ref="B10:C10"/>
    <mergeCell ref="B17:C17"/>
    <mergeCell ref="B18:C18"/>
    <mergeCell ref="A1:L1"/>
    <mergeCell ref="B21:C21"/>
    <mergeCell ref="B20:C20"/>
    <mergeCell ref="B55:C55"/>
    <mergeCell ref="A52:A53"/>
    <mergeCell ref="B53:C53"/>
    <mergeCell ref="A23:A29"/>
    <mergeCell ref="B23:C23"/>
    <mergeCell ref="B27:C27"/>
    <mergeCell ref="B28:C28"/>
    <mergeCell ref="B29:C29"/>
    <mergeCell ref="A30:A41"/>
    <mergeCell ref="B41:C41"/>
    <mergeCell ref="A42:A45"/>
    <mergeCell ref="B45:C45"/>
    <mergeCell ref="B51:C51"/>
  </mergeCells>
  <phoneticPr fontId="0" type="noConversion"/>
  <printOptions horizontalCentered="1"/>
  <pageMargins left="0.4" right="0.28000000000000003" top="0.37" bottom="0.41" header="0.17" footer="0.19685039370078741"/>
  <pageSetup paperSize="9" scale="49" firstPageNumber="39" orientation="landscape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Q137"/>
  <sheetViews>
    <sheetView workbookViewId="0">
      <selection activeCell="P48" sqref="P48"/>
    </sheetView>
  </sheetViews>
  <sheetFormatPr defaultRowHeight="15" customHeight="1" x14ac:dyDescent="0.2"/>
  <cols>
    <col min="1" max="1" width="2.42578125" style="161" bestFit="1" customWidth="1"/>
    <col min="2" max="2" width="2.42578125" style="150" bestFit="1" customWidth="1"/>
    <col min="3" max="3" width="2.28515625" style="150" customWidth="1"/>
    <col min="4" max="4" width="2.7109375" style="150" customWidth="1"/>
    <col min="5" max="5" width="38.28515625" style="150" customWidth="1"/>
    <col min="6" max="6" width="5.5703125" style="160" customWidth="1"/>
    <col min="7" max="12" width="14.42578125" style="160" customWidth="1"/>
    <col min="13" max="16384" width="9.140625" style="150"/>
  </cols>
  <sheetData>
    <row r="1" spans="1:13" ht="15" customHeight="1" x14ac:dyDescent="0.2">
      <c r="A1" s="458" t="s">
        <v>469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3" ht="19.5" customHeight="1" x14ac:dyDescent="0.2">
      <c r="A2" s="548" t="s">
        <v>33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</row>
    <row r="3" spans="1:13" ht="15" customHeight="1" thickBot="1" x14ac:dyDescent="0.25">
      <c r="A3" s="149"/>
      <c r="B3" s="149"/>
      <c r="C3" s="151"/>
      <c r="D3" s="151"/>
      <c r="E3" s="149"/>
      <c r="F3" s="152"/>
      <c r="G3" s="153"/>
      <c r="H3" s="153"/>
      <c r="I3" s="153"/>
      <c r="J3" s="153"/>
      <c r="K3" s="153"/>
      <c r="L3" s="153" t="s">
        <v>156</v>
      </c>
    </row>
    <row r="4" spans="1:13" ht="42.75" customHeight="1" thickBot="1" x14ac:dyDescent="0.25">
      <c r="A4" s="549" t="s">
        <v>25</v>
      </c>
      <c r="B4" s="550"/>
      <c r="C4" s="550"/>
      <c r="D4" s="550"/>
      <c r="E4" s="550"/>
      <c r="F4" s="314" t="s">
        <v>478</v>
      </c>
      <c r="G4" s="315" t="s">
        <v>465</v>
      </c>
      <c r="H4" s="315" t="s">
        <v>651</v>
      </c>
      <c r="I4" s="315" t="s">
        <v>487</v>
      </c>
      <c r="J4" s="315" t="s">
        <v>652</v>
      </c>
      <c r="K4" s="313" t="s">
        <v>217</v>
      </c>
      <c r="L4" s="191" t="s">
        <v>218</v>
      </c>
    </row>
    <row r="5" spans="1:13" ht="18" customHeight="1" x14ac:dyDescent="0.2">
      <c r="A5" s="546" t="s">
        <v>26</v>
      </c>
      <c r="B5" s="547" t="s">
        <v>21</v>
      </c>
      <c r="C5" s="524"/>
      <c r="D5" s="524"/>
      <c r="E5" s="524"/>
      <c r="F5" s="524"/>
      <c r="G5" s="524"/>
      <c r="H5" s="317"/>
      <c r="I5" s="316"/>
      <c r="J5" s="316"/>
      <c r="K5" s="158"/>
      <c r="L5" s="164"/>
    </row>
    <row r="6" spans="1:13" ht="15" customHeight="1" x14ac:dyDescent="0.2">
      <c r="A6" s="535"/>
      <c r="B6" s="183" t="s">
        <v>26</v>
      </c>
      <c r="C6" s="543" t="s">
        <v>653</v>
      </c>
      <c r="D6" s="544"/>
      <c r="E6" s="545"/>
      <c r="F6" s="336" t="s">
        <v>451</v>
      </c>
      <c r="G6" s="337">
        <v>0</v>
      </c>
      <c r="H6" s="337">
        <v>0</v>
      </c>
      <c r="I6" s="337">
        <v>800000</v>
      </c>
      <c r="J6" s="337">
        <f>K6-G6-H6-I6</f>
        <v>0</v>
      </c>
      <c r="K6" s="337">
        <v>800000</v>
      </c>
      <c r="L6" s="338">
        <v>800000</v>
      </c>
    </row>
    <row r="7" spans="1:13" ht="15" customHeight="1" x14ac:dyDescent="0.2">
      <c r="A7" s="535"/>
      <c r="B7" s="327"/>
      <c r="C7" s="326" t="s">
        <v>26</v>
      </c>
      <c r="D7" s="325" t="s">
        <v>654</v>
      </c>
      <c r="E7" s="324"/>
      <c r="F7" s="188"/>
      <c r="G7" s="331">
        <v>0</v>
      </c>
      <c r="H7" s="331">
        <v>0</v>
      </c>
      <c r="I7" s="331">
        <v>0</v>
      </c>
      <c r="J7" s="5">
        <v>0</v>
      </c>
      <c r="K7" s="5">
        <v>0</v>
      </c>
      <c r="L7" s="332">
        <v>0</v>
      </c>
    </row>
    <row r="8" spans="1:13" ht="15" customHeight="1" x14ac:dyDescent="0.2">
      <c r="A8" s="535"/>
      <c r="B8" s="327"/>
      <c r="C8" s="329" t="s">
        <v>27</v>
      </c>
      <c r="D8" s="325" t="s">
        <v>655</v>
      </c>
      <c r="E8" s="324"/>
      <c r="F8" s="188"/>
      <c r="G8" s="331">
        <v>0</v>
      </c>
      <c r="H8" s="331">
        <v>0</v>
      </c>
      <c r="I8" s="331">
        <v>800000</v>
      </c>
      <c r="J8" s="5">
        <v>0</v>
      </c>
      <c r="K8" s="5">
        <v>800000</v>
      </c>
      <c r="L8" s="332">
        <v>800000</v>
      </c>
    </row>
    <row r="9" spans="1:13" ht="15" customHeight="1" x14ac:dyDescent="0.2">
      <c r="A9" s="535"/>
      <c r="B9" s="328"/>
      <c r="C9" s="330"/>
      <c r="D9" s="279" t="s">
        <v>26</v>
      </c>
      <c r="E9" s="333" t="s">
        <v>663</v>
      </c>
      <c r="F9" s="188"/>
      <c r="G9" s="331">
        <v>0</v>
      </c>
      <c r="H9" s="331">
        <v>0</v>
      </c>
      <c r="I9" s="331">
        <v>800000</v>
      </c>
      <c r="J9" s="5">
        <v>0</v>
      </c>
      <c r="K9" s="5">
        <v>800000</v>
      </c>
      <c r="L9" s="332">
        <v>800000</v>
      </c>
    </row>
    <row r="10" spans="1:13" ht="15" customHeight="1" x14ac:dyDescent="0.2">
      <c r="A10" s="535"/>
      <c r="B10" s="183" t="s">
        <v>27</v>
      </c>
      <c r="C10" s="543" t="s">
        <v>662</v>
      </c>
      <c r="D10" s="544"/>
      <c r="E10" s="545"/>
      <c r="F10" s="339" t="s">
        <v>49</v>
      </c>
      <c r="G10" s="340">
        <v>0</v>
      </c>
      <c r="H10" s="340">
        <v>195405</v>
      </c>
      <c r="I10" s="340">
        <v>17375988</v>
      </c>
      <c r="J10" s="337">
        <f t="shared" ref="J10:J48" si="0">K10-G10-H10-I10</f>
        <v>921720</v>
      </c>
      <c r="K10" s="337">
        <v>18493113</v>
      </c>
      <c r="L10" s="341">
        <v>18493113</v>
      </c>
    </row>
    <row r="11" spans="1:13" ht="15" customHeight="1" x14ac:dyDescent="0.2">
      <c r="A11" s="535"/>
      <c r="B11" s="327"/>
      <c r="C11" s="326" t="s">
        <v>26</v>
      </c>
      <c r="D11" s="325" t="s">
        <v>656</v>
      </c>
      <c r="E11" s="324"/>
      <c r="F11" s="188"/>
      <c r="G11" s="331">
        <v>0</v>
      </c>
      <c r="H11" s="331">
        <v>0</v>
      </c>
      <c r="I11" s="331">
        <v>0</v>
      </c>
      <c r="J11" s="5">
        <v>0</v>
      </c>
      <c r="K11" s="5">
        <v>0</v>
      </c>
      <c r="L11" s="332">
        <v>0</v>
      </c>
    </row>
    <row r="12" spans="1:13" ht="15" customHeight="1" x14ac:dyDescent="0.2">
      <c r="A12" s="535"/>
      <c r="B12" s="327"/>
      <c r="C12" s="326" t="s">
        <v>27</v>
      </c>
      <c r="D12" s="325" t="s">
        <v>657</v>
      </c>
      <c r="E12" s="324"/>
      <c r="F12" s="188"/>
      <c r="G12" s="331">
        <v>0</v>
      </c>
      <c r="H12" s="331">
        <v>0</v>
      </c>
      <c r="I12" s="331">
        <v>0</v>
      </c>
      <c r="J12" s="5">
        <v>0</v>
      </c>
      <c r="K12" s="5">
        <v>0</v>
      </c>
      <c r="L12" s="332">
        <v>0</v>
      </c>
    </row>
    <row r="13" spans="1:13" ht="15" customHeight="1" x14ac:dyDescent="0.2">
      <c r="A13" s="535"/>
      <c r="B13" s="327"/>
      <c r="C13" s="326" t="s">
        <v>664</v>
      </c>
      <c r="D13" s="325" t="s">
        <v>658</v>
      </c>
      <c r="E13" s="324"/>
      <c r="F13" s="188"/>
      <c r="G13" s="331">
        <v>0</v>
      </c>
      <c r="H13" s="331">
        <v>0</v>
      </c>
      <c r="I13" s="331">
        <v>0</v>
      </c>
      <c r="J13" s="5">
        <v>0</v>
      </c>
      <c r="K13" s="5">
        <v>0</v>
      </c>
      <c r="L13" s="332">
        <v>0</v>
      </c>
    </row>
    <row r="14" spans="1:13" ht="15" customHeight="1" x14ac:dyDescent="0.2">
      <c r="A14" s="535"/>
      <c r="B14" s="327"/>
      <c r="C14" s="329" t="s">
        <v>29</v>
      </c>
      <c r="D14" s="325" t="s">
        <v>659</v>
      </c>
      <c r="E14" s="324"/>
      <c r="F14" s="188"/>
      <c r="G14" s="331">
        <v>0</v>
      </c>
      <c r="H14" s="331">
        <f>SUM(H15:H20)</f>
        <v>195405</v>
      </c>
      <c r="I14" s="331">
        <f>SUM(I15:I20)</f>
        <v>17375988</v>
      </c>
      <c r="J14" s="5">
        <f>SUM(J15:J20)</f>
        <v>921720</v>
      </c>
      <c r="K14" s="5">
        <f>SUM(G14:J14)</f>
        <v>18493113</v>
      </c>
      <c r="L14" s="332">
        <v>18943113</v>
      </c>
    </row>
    <row r="15" spans="1:13" ht="15" customHeight="1" x14ac:dyDescent="0.2">
      <c r="A15" s="535"/>
      <c r="B15" s="327"/>
      <c r="C15" s="334"/>
      <c r="D15" s="279" t="s">
        <v>26</v>
      </c>
      <c r="E15" s="333" t="s">
        <v>665</v>
      </c>
      <c r="F15" s="335"/>
      <c r="G15" s="331">
        <v>0</v>
      </c>
      <c r="H15" s="331">
        <v>138504</v>
      </c>
      <c r="I15" s="331">
        <v>0</v>
      </c>
      <c r="J15" s="5">
        <v>0</v>
      </c>
      <c r="K15" s="5">
        <f t="shared" ref="K15:K20" si="1">SUM(G15:J15)</f>
        <v>138504</v>
      </c>
      <c r="L15" s="332">
        <v>138504</v>
      </c>
      <c r="M15" s="319"/>
    </row>
    <row r="16" spans="1:13" ht="15" customHeight="1" x14ac:dyDescent="0.2">
      <c r="A16" s="535"/>
      <c r="B16" s="327"/>
      <c r="C16" s="334"/>
      <c r="D16" s="279" t="s">
        <v>27</v>
      </c>
      <c r="E16" s="333" t="s">
        <v>666</v>
      </c>
      <c r="F16" s="335"/>
      <c r="G16" s="331">
        <v>0</v>
      </c>
      <c r="H16" s="331">
        <v>56901</v>
      </c>
      <c r="I16" s="331">
        <v>56966</v>
      </c>
      <c r="J16" s="5">
        <v>0</v>
      </c>
      <c r="K16" s="5">
        <f t="shared" si="1"/>
        <v>113867</v>
      </c>
      <c r="L16" s="332">
        <v>113867</v>
      </c>
    </row>
    <row r="17" spans="1:14" ht="15" customHeight="1" x14ac:dyDescent="0.2">
      <c r="A17" s="535"/>
      <c r="B17" s="327"/>
      <c r="C17" s="334"/>
      <c r="D17" s="279" t="s">
        <v>28</v>
      </c>
      <c r="E17" s="333" t="s">
        <v>667</v>
      </c>
      <c r="F17" s="335"/>
      <c r="G17" s="331">
        <v>0</v>
      </c>
      <c r="H17" s="331">
        <v>0</v>
      </c>
      <c r="I17" s="331">
        <v>17224342</v>
      </c>
      <c r="J17" s="5">
        <v>0</v>
      </c>
      <c r="K17" s="5">
        <f t="shared" si="1"/>
        <v>17224342</v>
      </c>
      <c r="L17" s="332">
        <v>17224342</v>
      </c>
    </row>
    <row r="18" spans="1:14" ht="15" customHeight="1" x14ac:dyDescent="0.2">
      <c r="A18" s="535"/>
      <c r="B18" s="327"/>
      <c r="C18" s="334"/>
      <c r="D18" s="279" t="s">
        <v>29</v>
      </c>
      <c r="E18" s="333" t="s">
        <v>668</v>
      </c>
      <c r="F18" s="335"/>
      <c r="G18" s="331">
        <v>0</v>
      </c>
      <c r="H18" s="331">
        <v>0</v>
      </c>
      <c r="I18" s="331">
        <v>94680</v>
      </c>
      <c r="J18" s="5">
        <v>612000</v>
      </c>
      <c r="K18" s="5">
        <f t="shared" si="1"/>
        <v>706680</v>
      </c>
      <c r="L18" s="332">
        <v>706680</v>
      </c>
    </row>
    <row r="19" spans="1:14" ht="15" customHeight="1" x14ac:dyDescent="0.2">
      <c r="A19" s="535"/>
      <c r="B19" s="327"/>
      <c r="C19" s="334"/>
      <c r="D19" s="279" t="s">
        <v>30</v>
      </c>
      <c r="E19" s="333" t="s">
        <v>669</v>
      </c>
      <c r="F19" s="335"/>
      <c r="G19" s="331">
        <v>0</v>
      </c>
      <c r="H19" s="331">
        <v>0</v>
      </c>
      <c r="I19" s="331">
        <v>0</v>
      </c>
      <c r="J19" s="5">
        <v>285870</v>
      </c>
      <c r="K19" s="5">
        <f t="shared" si="1"/>
        <v>285870</v>
      </c>
      <c r="L19" s="332">
        <v>285870</v>
      </c>
    </row>
    <row r="20" spans="1:14" ht="15" customHeight="1" x14ac:dyDescent="0.2">
      <c r="A20" s="535"/>
      <c r="B20" s="328"/>
      <c r="C20" s="330"/>
      <c r="D20" s="279" t="s">
        <v>32</v>
      </c>
      <c r="E20" s="333" t="s">
        <v>670</v>
      </c>
      <c r="F20" s="335"/>
      <c r="G20" s="331">
        <v>0</v>
      </c>
      <c r="H20" s="331">
        <v>0</v>
      </c>
      <c r="I20" s="331">
        <v>0</v>
      </c>
      <c r="J20" s="5">
        <v>23850</v>
      </c>
      <c r="K20" s="5">
        <f t="shared" si="1"/>
        <v>23850</v>
      </c>
      <c r="L20" s="332">
        <v>23850</v>
      </c>
    </row>
    <row r="21" spans="1:14" ht="15" customHeight="1" x14ac:dyDescent="0.2">
      <c r="A21" s="535"/>
      <c r="B21" s="352" t="s">
        <v>28</v>
      </c>
      <c r="C21" s="353" t="s">
        <v>673</v>
      </c>
      <c r="D21" s="354"/>
      <c r="E21" s="355"/>
      <c r="F21" s="356"/>
      <c r="G21" s="357">
        <f>G22+G27+G45+G46</f>
        <v>1368083</v>
      </c>
      <c r="H21" s="357">
        <f t="shared" ref="H21:L21" si="2">H22+H27+H45+H46</f>
        <v>245117</v>
      </c>
      <c r="I21" s="357">
        <f t="shared" si="2"/>
        <v>1047205</v>
      </c>
      <c r="J21" s="357">
        <f t="shared" si="2"/>
        <v>264039</v>
      </c>
      <c r="K21" s="357">
        <f t="shared" si="2"/>
        <v>2924444</v>
      </c>
      <c r="L21" s="382">
        <f t="shared" si="2"/>
        <v>2924444</v>
      </c>
    </row>
    <row r="22" spans="1:14" ht="15" customHeight="1" x14ac:dyDescent="0.2">
      <c r="A22" s="535"/>
      <c r="B22" s="343"/>
      <c r="C22" s="362" t="s">
        <v>26</v>
      </c>
      <c r="D22" s="360" t="s">
        <v>674</v>
      </c>
      <c r="E22" s="361"/>
      <c r="F22" s="188" t="s">
        <v>452</v>
      </c>
      <c r="G22" s="320">
        <v>0</v>
      </c>
      <c r="H22" s="320">
        <v>50000</v>
      </c>
      <c r="I22" s="320">
        <v>26500</v>
      </c>
      <c r="J22" s="186">
        <f t="shared" si="0"/>
        <v>14100</v>
      </c>
      <c r="K22" s="186">
        <v>90600</v>
      </c>
      <c r="L22" s="322">
        <v>90600</v>
      </c>
    </row>
    <row r="23" spans="1:14" ht="15" customHeight="1" x14ac:dyDescent="0.2">
      <c r="A23" s="535"/>
      <c r="B23" s="343"/>
      <c r="C23" s="334"/>
      <c r="D23" s="312" t="s">
        <v>26</v>
      </c>
      <c r="E23" s="333" t="s">
        <v>678</v>
      </c>
      <c r="F23" s="188"/>
      <c r="G23" s="331">
        <v>0</v>
      </c>
      <c r="H23" s="331">
        <v>27700</v>
      </c>
      <c r="I23" s="331">
        <v>0</v>
      </c>
      <c r="J23" s="5">
        <v>0</v>
      </c>
      <c r="K23" s="5">
        <v>27700</v>
      </c>
      <c r="L23" s="332">
        <v>27700</v>
      </c>
    </row>
    <row r="24" spans="1:14" ht="15" customHeight="1" x14ac:dyDescent="0.2">
      <c r="A24" s="535"/>
      <c r="B24" s="343"/>
      <c r="C24" s="334"/>
      <c r="D24" s="312" t="s">
        <v>27</v>
      </c>
      <c r="E24" s="333" t="s">
        <v>685</v>
      </c>
      <c r="F24" s="188"/>
      <c r="G24" s="331">
        <v>0</v>
      </c>
      <c r="H24" s="331">
        <v>22300</v>
      </c>
      <c r="I24" s="331">
        <v>0</v>
      </c>
      <c r="J24" s="5">
        <v>0</v>
      </c>
      <c r="K24" s="5">
        <v>22300</v>
      </c>
      <c r="L24" s="332">
        <v>22300</v>
      </c>
    </row>
    <row r="25" spans="1:14" ht="15" customHeight="1" x14ac:dyDescent="0.2">
      <c r="A25" s="535"/>
      <c r="B25" s="343"/>
      <c r="C25" s="334"/>
      <c r="D25" s="312" t="s">
        <v>28</v>
      </c>
      <c r="E25" s="333" t="s">
        <v>679</v>
      </c>
      <c r="F25" s="188"/>
      <c r="G25" s="331">
        <v>0</v>
      </c>
      <c r="H25" s="331">
        <v>0</v>
      </c>
      <c r="I25" s="331">
        <v>26500</v>
      </c>
      <c r="J25" s="5">
        <v>0</v>
      </c>
      <c r="K25" s="5">
        <v>26500</v>
      </c>
      <c r="L25" s="332">
        <v>26500</v>
      </c>
    </row>
    <row r="26" spans="1:14" ht="15" customHeight="1" x14ac:dyDescent="0.2">
      <c r="A26" s="535"/>
      <c r="B26" s="343"/>
      <c r="C26" s="330"/>
      <c r="D26" s="312">
        <v>4</v>
      </c>
      <c r="E26" s="333" t="s">
        <v>680</v>
      </c>
      <c r="F26" s="188"/>
      <c r="G26" s="331">
        <v>0</v>
      </c>
      <c r="H26" s="331">
        <v>0</v>
      </c>
      <c r="I26" s="331">
        <v>0</v>
      </c>
      <c r="J26" s="5">
        <v>14100</v>
      </c>
      <c r="K26" s="5">
        <v>14100</v>
      </c>
      <c r="L26" s="332">
        <v>14100</v>
      </c>
    </row>
    <row r="27" spans="1:14" ht="15" customHeight="1" x14ac:dyDescent="0.2">
      <c r="A27" s="535"/>
      <c r="B27" s="343"/>
      <c r="C27" s="329" t="s">
        <v>27</v>
      </c>
      <c r="D27" s="325" t="s">
        <v>675</v>
      </c>
      <c r="E27" s="324"/>
      <c r="F27" s="366" t="s">
        <v>50</v>
      </c>
      <c r="G27" s="320">
        <v>1368083</v>
      </c>
      <c r="H27" s="320">
        <v>195117</v>
      </c>
      <c r="I27" s="320">
        <v>1020705</v>
      </c>
      <c r="J27" s="186">
        <f>K27-G27-H27-I27</f>
        <v>249939</v>
      </c>
      <c r="K27" s="186">
        <v>2833844</v>
      </c>
      <c r="L27" s="322">
        <v>2833844</v>
      </c>
    </row>
    <row r="28" spans="1:14" ht="15" customHeight="1" x14ac:dyDescent="0.2">
      <c r="A28" s="535"/>
      <c r="B28" s="343"/>
      <c r="C28" s="334"/>
      <c r="D28" s="342" t="s">
        <v>26</v>
      </c>
      <c r="E28" s="333" t="s">
        <v>681</v>
      </c>
      <c r="F28" s="367"/>
      <c r="G28" s="331"/>
      <c r="H28" s="331"/>
      <c r="I28" s="331"/>
      <c r="J28" s="5"/>
      <c r="K28" s="5">
        <v>516679</v>
      </c>
      <c r="L28" s="9">
        <v>516679</v>
      </c>
      <c r="M28" s="319"/>
      <c r="N28" s="319"/>
    </row>
    <row r="29" spans="1:14" ht="15" customHeight="1" x14ac:dyDescent="0.2">
      <c r="A29" s="535"/>
      <c r="B29" s="343"/>
      <c r="C29" s="334"/>
      <c r="D29" s="342" t="s">
        <v>27</v>
      </c>
      <c r="E29" s="333" t="s">
        <v>682</v>
      </c>
      <c r="F29" s="367"/>
      <c r="G29" s="331"/>
      <c r="H29" s="331"/>
      <c r="I29" s="331"/>
      <c r="J29" s="5"/>
      <c r="K29" s="5">
        <v>508528</v>
      </c>
      <c r="L29" s="383">
        <v>508528</v>
      </c>
    </row>
    <row r="30" spans="1:14" ht="15" customHeight="1" x14ac:dyDescent="0.2">
      <c r="A30" s="535"/>
      <c r="B30" s="343"/>
      <c r="C30" s="334"/>
      <c r="D30" s="342" t="s">
        <v>28</v>
      </c>
      <c r="E30" s="333" t="s">
        <v>683</v>
      </c>
      <c r="F30" s="367"/>
      <c r="G30" s="331"/>
      <c r="H30" s="331"/>
      <c r="I30" s="331"/>
      <c r="J30" s="5"/>
      <c r="K30" s="5">
        <v>90293</v>
      </c>
      <c r="L30" s="383">
        <v>90293</v>
      </c>
    </row>
    <row r="31" spans="1:14" ht="15" customHeight="1" x14ac:dyDescent="0.2">
      <c r="A31" s="535"/>
      <c r="B31" s="343"/>
      <c r="C31" s="334"/>
      <c r="D31" s="342" t="s">
        <v>29</v>
      </c>
      <c r="E31" s="333" t="s">
        <v>684</v>
      </c>
      <c r="F31" s="367"/>
      <c r="G31" s="331"/>
      <c r="H31" s="331"/>
      <c r="I31" s="331"/>
      <c r="J31" s="5"/>
      <c r="K31" s="5">
        <v>62991</v>
      </c>
      <c r="L31" s="383">
        <v>62991</v>
      </c>
    </row>
    <row r="32" spans="1:14" ht="15" customHeight="1" x14ac:dyDescent="0.2">
      <c r="A32" s="535"/>
      <c r="B32" s="343"/>
      <c r="C32" s="334"/>
      <c r="D32" s="342" t="s">
        <v>30</v>
      </c>
      <c r="E32" s="333" t="s">
        <v>686</v>
      </c>
      <c r="F32" s="367"/>
      <c r="G32" s="331"/>
      <c r="H32" s="331"/>
      <c r="I32" s="331"/>
      <c r="J32" s="5"/>
      <c r="K32" s="5">
        <v>181102</v>
      </c>
      <c r="L32" s="383">
        <v>181102</v>
      </c>
    </row>
    <row r="33" spans="1:12" ht="15" customHeight="1" x14ac:dyDescent="0.2">
      <c r="A33" s="535"/>
      <c r="B33" s="343"/>
      <c r="C33" s="334"/>
      <c r="D33" s="342" t="s">
        <v>32</v>
      </c>
      <c r="E33" s="333" t="s">
        <v>689</v>
      </c>
      <c r="F33" s="367"/>
      <c r="G33" s="331"/>
      <c r="H33" s="331"/>
      <c r="I33" s="331"/>
      <c r="J33" s="5"/>
      <c r="K33" s="5">
        <f>167324+370955</f>
        <v>538279</v>
      </c>
      <c r="L33" s="383">
        <f>167324+370955</f>
        <v>538279</v>
      </c>
    </row>
    <row r="34" spans="1:12" ht="15" customHeight="1" x14ac:dyDescent="0.2">
      <c r="A34" s="535"/>
      <c r="B34" s="343"/>
      <c r="C34" s="330"/>
      <c r="D34" s="342" t="s">
        <v>34</v>
      </c>
      <c r="E34" s="333" t="s">
        <v>687</v>
      </c>
      <c r="F34" s="367"/>
      <c r="G34" s="331"/>
      <c r="H34" s="331"/>
      <c r="I34" s="331"/>
      <c r="J34" s="5"/>
      <c r="K34" s="5">
        <v>36283</v>
      </c>
      <c r="L34" s="383">
        <v>36283</v>
      </c>
    </row>
    <row r="35" spans="1:12" ht="15" customHeight="1" x14ac:dyDescent="0.2">
      <c r="A35" s="535"/>
      <c r="B35" s="343"/>
      <c r="C35" s="330"/>
      <c r="D35" s="342" t="s">
        <v>35</v>
      </c>
      <c r="E35" s="333" t="s">
        <v>688</v>
      </c>
      <c r="F35" s="367"/>
      <c r="G35" s="331"/>
      <c r="H35" s="331"/>
      <c r="I35" s="331"/>
      <c r="J35" s="5"/>
      <c r="K35" s="5">
        <v>401339</v>
      </c>
      <c r="L35" s="383">
        <v>401339</v>
      </c>
    </row>
    <row r="36" spans="1:12" ht="15" customHeight="1" x14ac:dyDescent="0.2">
      <c r="A36" s="535"/>
      <c r="B36" s="343"/>
      <c r="C36" s="330"/>
      <c r="D36" s="342" t="s">
        <v>36</v>
      </c>
      <c r="E36" s="333" t="s">
        <v>690</v>
      </c>
      <c r="F36" s="367"/>
      <c r="G36" s="331"/>
      <c r="H36" s="331"/>
      <c r="I36" s="331"/>
      <c r="J36" s="5"/>
      <c r="K36" s="5">
        <v>70000</v>
      </c>
      <c r="L36" s="383">
        <v>70000</v>
      </c>
    </row>
    <row r="37" spans="1:12" ht="15" customHeight="1" x14ac:dyDescent="0.2">
      <c r="A37" s="535"/>
      <c r="B37" s="343"/>
      <c r="C37" s="330"/>
      <c r="D37" s="342" t="s">
        <v>37</v>
      </c>
      <c r="E37" s="333" t="s">
        <v>691</v>
      </c>
      <c r="F37" s="367"/>
      <c r="G37" s="331"/>
      <c r="H37" s="331"/>
      <c r="I37" s="331"/>
      <c r="J37" s="5"/>
      <c r="K37" s="5">
        <v>123016</v>
      </c>
      <c r="L37" s="383">
        <v>123016</v>
      </c>
    </row>
    <row r="38" spans="1:12" ht="15" customHeight="1" x14ac:dyDescent="0.2">
      <c r="A38" s="535"/>
      <c r="B38" s="343"/>
      <c r="C38" s="330"/>
      <c r="D38" s="342" t="s">
        <v>15</v>
      </c>
      <c r="E38" s="333" t="s">
        <v>692</v>
      </c>
      <c r="F38" s="367"/>
      <c r="G38" s="331"/>
      <c r="H38" s="331"/>
      <c r="I38" s="331"/>
      <c r="J38" s="5"/>
      <c r="K38" s="5">
        <v>6298</v>
      </c>
      <c r="L38" s="383">
        <v>6298</v>
      </c>
    </row>
    <row r="39" spans="1:12" ht="15" customHeight="1" x14ac:dyDescent="0.2">
      <c r="A39" s="535"/>
      <c r="B39" s="343"/>
      <c r="C39" s="330"/>
      <c r="D39" s="342" t="s">
        <v>16</v>
      </c>
      <c r="E39" s="333" t="s">
        <v>693</v>
      </c>
      <c r="F39" s="367"/>
      <c r="G39" s="331"/>
      <c r="H39" s="331"/>
      <c r="I39" s="331"/>
      <c r="J39" s="5"/>
      <c r="K39" s="5">
        <v>49097</v>
      </c>
      <c r="L39" s="383">
        <v>49097</v>
      </c>
    </row>
    <row r="40" spans="1:12" ht="15" customHeight="1" x14ac:dyDescent="0.2">
      <c r="A40" s="535"/>
      <c r="B40" s="343"/>
      <c r="C40" s="330"/>
      <c r="D40" s="342" t="s">
        <v>20</v>
      </c>
      <c r="E40" s="333" t="s">
        <v>694</v>
      </c>
      <c r="F40" s="367"/>
      <c r="G40" s="331"/>
      <c r="H40" s="331"/>
      <c r="I40" s="331"/>
      <c r="J40" s="5"/>
      <c r="K40" s="5">
        <v>70000</v>
      </c>
      <c r="L40" s="383">
        <v>70000</v>
      </c>
    </row>
    <row r="41" spans="1:12" ht="15" customHeight="1" x14ac:dyDescent="0.2">
      <c r="A41" s="535"/>
      <c r="B41" s="343"/>
      <c r="C41" s="330"/>
      <c r="D41" s="342" t="s">
        <v>17</v>
      </c>
      <c r="E41" s="333" t="s">
        <v>695</v>
      </c>
      <c r="F41" s="367"/>
      <c r="G41" s="331"/>
      <c r="H41" s="331"/>
      <c r="I41" s="331"/>
      <c r="J41" s="5"/>
      <c r="K41" s="5">
        <v>23135</v>
      </c>
      <c r="L41" s="383">
        <v>23135</v>
      </c>
    </row>
    <row r="42" spans="1:12" ht="15" customHeight="1" x14ac:dyDescent="0.2">
      <c r="A42" s="535"/>
      <c r="B42" s="343"/>
      <c r="C42" s="330"/>
      <c r="D42" s="342" t="s">
        <v>40</v>
      </c>
      <c r="E42" s="333" t="s">
        <v>696</v>
      </c>
      <c r="F42" s="367"/>
      <c r="G42" s="331"/>
      <c r="H42" s="331"/>
      <c r="I42" s="331"/>
      <c r="J42" s="5"/>
      <c r="K42" s="5">
        <v>25182</v>
      </c>
      <c r="L42" s="383">
        <v>25182</v>
      </c>
    </row>
    <row r="43" spans="1:12" ht="15" customHeight="1" x14ac:dyDescent="0.2">
      <c r="A43" s="535"/>
      <c r="B43" s="343"/>
      <c r="C43" s="330"/>
      <c r="D43" s="342" t="s">
        <v>41</v>
      </c>
      <c r="E43" s="333" t="s">
        <v>697</v>
      </c>
      <c r="F43" s="367"/>
      <c r="G43" s="331"/>
      <c r="H43" s="331"/>
      <c r="I43" s="331"/>
      <c r="J43" s="5"/>
      <c r="K43" s="5">
        <v>11803</v>
      </c>
      <c r="L43" s="383">
        <v>11803</v>
      </c>
    </row>
    <row r="44" spans="1:12" ht="15" customHeight="1" x14ac:dyDescent="0.2">
      <c r="A44" s="535"/>
      <c r="B44" s="343"/>
      <c r="C44" s="330"/>
      <c r="D44" s="342" t="s">
        <v>18</v>
      </c>
      <c r="E44" s="333" t="s">
        <v>698</v>
      </c>
      <c r="F44" s="367"/>
      <c r="G44" s="331"/>
      <c r="H44" s="331"/>
      <c r="I44" s="331"/>
      <c r="J44" s="5"/>
      <c r="K44" s="5">
        <v>119819</v>
      </c>
      <c r="L44" s="383">
        <v>119819</v>
      </c>
    </row>
    <row r="45" spans="1:12" s="151" customFormat="1" ht="15" customHeight="1" x14ac:dyDescent="0.2">
      <c r="A45" s="535"/>
      <c r="B45" s="344"/>
      <c r="C45" s="185" t="s">
        <v>28</v>
      </c>
      <c r="D45" s="360" t="s">
        <v>676</v>
      </c>
      <c r="E45" s="361"/>
      <c r="F45" s="188"/>
      <c r="G45" s="358">
        <v>0</v>
      </c>
      <c r="H45" s="358">
        <v>0</v>
      </c>
      <c r="I45" s="358">
        <v>0</v>
      </c>
      <c r="J45" s="358">
        <v>0</v>
      </c>
      <c r="K45" s="358">
        <v>0</v>
      </c>
      <c r="L45" s="384">
        <v>0</v>
      </c>
    </row>
    <row r="46" spans="1:12" s="151" customFormat="1" ht="15" customHeight="1" x14ac:dyDescent="0.2">
      <c r="A46" s="535"/>
      <c r="B46" s="344"/>
      <c r="C46" s="185" t="s">
        <v>29</v>
      </c>
      <c r="D46" s="360" t="s">
        <v>677</v>
      </c>
      <c r="E46" s="361"/>
      <c r="F46" s="188"/>
      <c r="G46" s="359">
        <v>0</v>
      </c>
      <c r="H46" s="359">
        <v>0</v>
      </c>
      <c r="I46" s="359">
        <v>0</v>
      </c>
      <c r="J46" s="359">
        <v>0</v>
      </c>
      <c r="K46" s="359">
        <v>0</v>
      </c>
      <c r="L46" s="384">
        <v>0</v>
      </c>
    </row>
    <row r="47" spans="1:12" s="151" customFormat="1" ht="15" customHeight="1" x14ac:dyDescent="0.2">
      <c r="A47" s="535"/>
      <c r="B47" s="344" t="s">
        <v>671</v>
      </c>
      <c r="C47" s="345" t="s">
        <v>672</v>
      </c>
      <c r="D47" s="346"/>
      <c r="E47" s="347"/>
      <c r="F47" s="349"/>
      <c r="G47" s="348">
        <v>0</v>
      </c>
      <c r="H47" s="348">
        <v>0</v>
      </c>
      <c r="I47" s="348">
        <v>0</v>
      </c>
      <c r="J47" s="348">
        <v>0</v>
      </c>
      <c r="K47" s="348">
        <v>0</v>
      </c>
      <c r="L47" s="351">
        <v>0</v>
      </c>
    </row>
    <row r="48" spans="1:12" ht="15" customHeight="1" x14ac:dyDescent="0.2">
      <c r="A48" s="535"/>
      <c r="B48" s="189" t="s">
        <v>30</v>
      </c>
      <c r="C48" s="537" t="s">
        <v>660</v>
      </c>
      <c r="D48" s="538"/>
      <c r="E48" s="539"/>
      <c r="F48" s="349" t="s">
        <v>453</v>
      </c>
      <c r="G48" s="348">
        <v>369382</v>
      </c>
      <c r="H48" s="348">
        <v>121465</v>
      </c>
      <c r="I48" s="348">
        <v>537167</v>
      </c>
      <c r="J48" s="350">
        <f t="shared" si="0"/>
        <v>320155</v>
      </c>
      <c r="K48" s="350">
        <v>1348169</v>
      </c>
      <c r="L48" s="351">
        <v>1348169</v>
      </c>
    </row>
    <row r="49" spans="1:13" ht="18" customHeight="1" thickBot="1" x14ac:dyDescent="0.25">
      <c r="A49" s="551"/>
      <c r="B49" s="540" t="s">
        <v>19</v>
      </c>
      <c r="C49" s="541"/>
      <c r="D49" s="541"/>
      <c r="E49" s="542"/>
      <c r="F49" s="154"/>
      <c r="G49" s="368">
        <f>G6+G10+G21+G48</f>
        <v>1737465</v>
      </c>
      <c r="H49" s="368">
        <f t="shared" ref="H49:L49" si="3">H6+H10+H21+H48</f>
        <v>561987</v>
      </c>
      <c r="I49" s="368">
        <f t="shared" si="3"/>
        <v>19760360</v>
      </c>
      <c r="J49" s="368">
        <f t="shared" si="3"/>
        <v>1505914</v>
      </c>
      <c r="K49" s="368">
        <f t="shared" si="3"/>
        <v>23565726</v>
      </c>
      <c r="L49" s="385">
        <f t="shared" si="3"/>
        <v>23565726</v>
      </c>
      <c r="M49" s="2"/>
    </row>
    <row r="50" spans="1:13" ht="18" customHeight="1" x14ac:dyDescent="0.2">
      <c r="A50" s="546" t="s">
        <v>27</v>
      </c>
      <c r="B50" s="547" t="s">
        <v>2</v>
      </c>
      <c r="C50" s="524"/>
      <c r="D50" s="524"/>
      <c r="E50" s="524"/>
      <c r="F50" s="524"/>
      <c r="G50" s="524"/>
      <c r="H50" s="316"/>
      <c r="I50" s="316"/>
      <c r="J50" s="316"/>
      <c r="K50" s="158"/>
      <c r="L50" s="164"/>
    </row>
    <row r="51" spans="1:13" ht="15.75" customHeight="1" x14ac:dyDescent="0.2">
      <c r="A51" s="535"/>
      <c r="B51" s="362" t="s">
        <v>26</v>
      </c>
      <c r="C51" s="552" t="s">
        <v>3</v>
      </c>
      <c r="D51" s="538"/>
      <c r="E51" s="539"/>
      <c r="F51" s="387" t="s">
        <v>51</v>
      </c>
      <c r="G51" s="388">
        <v>1125000</v>
      </c>
      <c r="H51" s="388">
        <v>-475825</v>
      </c>
      <c r="I51" s="388">
        <v>0</v>
      </c>
      <c r="J51" s="388">
        <f>K51-G51-H51-I51</f>
        <v>65548</v>
      </c>
      <c r="K51" s="388">
        <v>714723</v>
      </c>
      <c r="L51" s="389">
        <v>714723</v>
      </c>
    </row>
    <row r="52" spans="1:13" ht="15.75" customHeight="1" x14ac:dyDescent="0.2">
      <c r="A52" s="363"/>
      <c r="B52" s="376"/>
      <c r="C52" s="329" t="s">
        <v>26</v>
      </c>
      <c r="D52" s="325" t="s">
        <v>699</v>
      </c>
      <c r="E52" s="324"/>
      <c r="F52" s="190"/>
      <c r="G52" s="321"/>
      <c r="H52" s="321"/>
      <c r="I52" s="321"/>
      <c r="J52" s="321"/>
      <c r="K52" s="321">
        <f>SUM(K53)</f>
        <v>44533</v>
      </c>
      <c r="L52" s="323">
        <f>SUM(L53)</f>
        <v>44533</v>
      </c>
    </row>
    <row r="53" spans="1:13" s="2" customFormat="1" ht="15.75" customHeight="1" x14ac:dyDescent="0.2">
      <c r="A53" s="370"/>
      <c r="B53" s="377"/>
      <c r="C53" s="374"/>
      <c r="D53" s="364" t="s">
        <v>26</v>
      </c>
      <c r="E53" s="333" t="s">
        <v>701</v>
      </c>
      <c r="F53" s="187"/>
      <c r="G53" s="372"/>
      <c r="H53" s="372"/>
      <c r="I53" s="372"/>
      <c r="J53" s="372"/>
      <c r="K53" s="372">
        <v>44533</v>
      </c>
      <c r="L53" s="373">
        <v>44533</v>
      </c>
    </row>
    <row r="54" spans="1:13" ht="15.75" customHeight="1" x14ac:dyDescent="0.2">
      <c r="A54" s="363"/>
      <c r="B54" s="376"/>
      <c r="C54" s="329" t="s">
        <v>27</v>
      </c>
      <c r="D54" s="325" t="s">
        <v>700</v>
      </c>
      <c r="E54" s="324"/>
      <c r="F54" s="190"/>
      <c r="G54" s="321"/>
      <c r="H54" s="321"/>
      <c r="I54" s="321"/>
      <c r="J54" s="321"/>
      <c r="K54" s="321">
        <f>SUM(K55:K58)</f>
        <v>670190</v>
      </c>
      <c r="L54" s="323">
        <f>SUM(L55:L58)</f>
        <v>670190</v>
      </c>
    </row>
    <row r="55" spans="1:13" s="2" customFormat="1" ht="15.75" customHeight="1" x14ac:dyDescent="0.2">
      <c r="A55" s="370"/>
      <c r="B55" s="377"/>
      <c r="C55" s="375"/>
      <c r="D55" s="333" t="s">
        <v>26</v>
      </c>
      <c r="E55" s="333" t="s">
        <v>666</v>
      </c>
      <c r="F55" s="187"/>
      <c r="G55" s="372"/>
      <c r="H55" s="372"/>
      <c r="I55" s="372"/>
      <c r="J55" s="372"/>
      <c r="K55" s="372">
        <f>15984+86096</f>
        <v>102080</v>
      </c>
      <c r="L55" s="373">
        <f>15984+86096</f>
        <v>102080</v>
      </c>
    </row>
    <row r="56" spans="1:13" s="2" customFormat="1" ht="15.75" customHeight="1" x14ac:dyDescent="0.2">
      <c r="A56" s="370"/>
      <c r="B56" s="377"/>
      <c r="C56" s="375"/>
      <c r="D56" s="333" t="s">
        <v>27</v>
      </c>
      <c r="E56" s="333" t="s">
        <v>702</v>
      </c>
      <c r="F56" s="187"/>
      <c r="G56" s="372"/>
      <c r="H56" s="372"/>
      <c r="I56" s="372"/>
      <c r="J56" s="372"/>
      <c r="K56" s="372">
        <v>430000</v>
      </c>
      <c r="L56" s="373">
        <v>430000</v>
      </c>
    </row>
    <row r="57" spans="1:13" s="2" customFormat="1" ht="15.75" customHeight="1" x14ac:dyDescent="0.2">
      <c r="A57" s="370"/>
      <c r="B57" s="377"/>
      <c r="C57" s="375"/>
      <c r="D57" s="364" t="s">
        <v>28</v>
      </c>
      <c r="E57" s="333" t="s">
        <v>703</v>
      </c>
      <c r="F57" s="187"/>
      <c r="G57" s="372"/>
      <c r="H57" s="372"/>
      <c r="I57" s="372"/>
      <c r="J57" s="372"/>
      <c r="K57" s="372">
        <v>20000</v>
      </c>
      <c r="L57" s="373">
        <v>20000</v>
      </c>
    </row>
    <row r="58" spans="1:13" s="2" customFormat="1" ht="15.75" customHeight="1" x14ac:dyDescent="0.2">
      <c r="A58" s="370"/>
      <c r="B58" s="371"/>
      <c r="C58" s="374"/>
      <c r="D58" s="364" t="s">
        <v>29</v>
      </c>
      <c r="E58" s="333" t="s">
        <v>704</v>
      </c>
      <c r="F58" s="187"/>
      <c r="G58" s="372"/>
      <c r="H58" s="372"/>
      <c r="I58" s="372"/>
      <c r="J58" s="372"/>
      <c r="K58" s="372">
        <v>118110</v>
      </c>
      <c r="L58" s="373">
        <v>118110</v>
      </c>
    </row>
    <row r="59" spans="1:13" ht="15.75" customHeight="1" x14ac:dyDescent="0.2">
      <c r="A59" s="363"/>
      <c r="B59" s="209" t="s">
        <v>27</v>
      </c>
      <c r="C59" s="537" t="s">
        <v>467</v>
      </c>
      <c r="D59" s="538"/>
      <c r="E59" s="539"/>
      <c r="F59" s="390" t="s">
        <v>468</v>
      </c>
      <c r="G59" s="388">
        <v>0</v>
      </c>
      <c r="H59" s="388">
        <v>431141</v>
      </c>
      <c r="I59" s="388">
        <v>0</v>
      </c>
      <c r="J59" s="388">
        <f t="shared" ref="J59:J64" si="4">K59-G59-H59-I59</f>
        <v>282790</v>
      </c>
      <c r="K59" s="388">
        <v>713931</v>
      </c>
      <c r="L59" s="389">
        <v>713931</v>
      </c>
    </row>
    <row r="60" spans="1:13" s="2" customFormat="1" ht="15.75" customHeight="1" x14ac:dyDescent="0.2">
      <c r="A60" s="370"/>
      <c r="B60" s="8"/>
      <c r="C60" s="365"/>
      <c r="D60" s="364" t="s">
        <v>26</v>
      </c>
      <c r="E60" s="333" t="s">
        <v>705</v>
      </c>
      <c r="F60" s="187"/>
      <c r="G60" s="372">
        <v>0</v>
      </c>
      <c r="H60" s="372">
        <v>201141</v>
      </c>
      <c r="I60" s="372">
        <v>0</v>
      </c>
      <c r="J60" s="372">
        <v>0</v>
      </c>
      <c r="K60" s="372">
        <v>201141</v>
      </c>
      <c r="L60" s="373">
        <v>201141</v>
      </c>
      <c r="M60" s="378"/>
    </row>
    <row r="61" spans="1:13" s="2" customFormat="1" ht="15.75" customHeight="1" x14ac:dyDescent="0.2">
      <c r="A61" s="370"/>
      <c r="B61" s="8"/>
      <c r="C61" s="375"/>
      <c r="D61" s="364" t="s">
        <v>27</v>
      </c>
      <c r="E61" s="333" t="s">
        <v>706</v>
      </c>
      <c r="F61" s="187"/>
      <c r="G61" s="372">
        <v>0</v>
      </c>
      <c r="H61" s="372">
        <v>230000</v>
      </c>
      <c r="I61" s="372">
        <v>0</v>
      </c>
      <c r="J61" s="372">
        <v>0</v>
      </c>
      <c r="K61" s="372">
        <v>230000</v>
      </c>
      <c r="L61" s="373">
        <v>230000</v>
      </c>
    </row>
    <row r="62" spans="1:13" s="2" customFormat="1" ht="15.75" customHeight="1" x14ac:dyDescent="0.2">
      <c r="A62" s="370"/>
      <c r="B62" s="8"/>
      <c r="C62" s="375"/>
      <c r="D62" s="364" t="s">
        <v>28</v>
      </c>
      <c r="E62" s="333" t="s">
        <v>707</v>
      </c>
      <c r="F62" s="187"/>
      <c r="G62" s="372">
        <v>0</v>
      </c>
      <c r="H62" s="372">
        <v>0</v>
      </c>
      <c r="I62" s="372">
        <v>0</v>
      </c>
      <c r="J62" s="372">
        <v>256900</v>
      </c>
      <c r="K62" s="372">
        <v>256900</v>
      </c>
      <c r="L62" s="373">
        <v>256900</v>
      </c>
    </row>
    <row r="63" spans="1:13" s="2" customFormat="1" ht="15.75" customHeight="1" x14ac:dyDescent="0.2">
      <c r="A63" s="370"/>
      <c r="B63" s="8"/>
      <c r="C63" s="374"/>
      <c r="D63" s="364" t="s">
        <v>29</v>
      </c>
      <c r="E63" s="333" t="s">
        <v>708</v>
      </c>
      <c r="F63" s="187"/>
      <c r="G63" s="372">
        <v>0</v>
      </c>
      <c r="H63" s="372">
        <v>0</v>
      </c>
      <c r="I63" s="372">
        <v>0</v>
      </c>
      <c r="J63" s="372">
        <v>25890</v>
      </c>
      <c r="K63" s="372">
        <v>25890</v>
      </c>
      <c r="L63" s="373">
        <v>25890</v>
      </c>
    </row>
    <row r="64" spans="1:13" s="151" customFormat="1" ht="15" customHeight="1" x14ac:dyDescent="0.2">
      <c r="A64" s="535"/>
      <c r="B64" s="185" t="s">
        <v>28</v>
      </c>
      <c r="C64" s="537" t="s">
        <v>661</v>
      </c>
      <c r="D64" s="538"/>
      <c r="E64" s="539"/>
      <c r="F64" s="390" t="s">
        <v>454</v>
      </c>
      <c r="G64" s="388">
        <v>263250</v>
      </c>
      <c r="H64" s="388">
        <v>0</v>
      </c>
      <c r="I64" s="388">
        <v>0</v>
      </c>
      <c r="J64" s="388">
        <f t="shared" si="4"/>
        <v>60387</v>
      </c>
      <c r="K64" s="388">
        <v>323637</v>
      </c>
      <c r="L64" s="389">
        <v>323637</v>
      </c>
    </row>
    <row r="65" spans="1:13" ht="18" customHeight="1" thickBot="1" x14ac:dyDescent="0.25">
      <c r="A65" s="535"/>
      <c r="B65" s="536" t="s">
        <v>23</v>
      </c>
      <c r="C65" s="536"/>
      <c r="D65" s="536"/>
      <c r="E65" s="536"/>
      <c r="F65" s="155"/>
      <c r="G65" s="379">
        <f>G51+G59+G64</f>
        <v>1388250</v>
      </c>
      <c r="H65" s="379">
        <f t="shared" ref="H65:L65" si="5">H51+H59+H64</f>
        <v>-44684</v>
      </c>
      <c r="I65" s="379">
        <f t="shared" si="5"/>
        <v>0</v>
      </c>
      <c r="J65" s="379">
        <f t="shared" si="5"/>
        <v>408725</v>
      </c>
      <c r="K65" s="379">
        <f t="shared" si="5"/>
        <v>1752291</v>
      </c>
      <c r="L65" s="381">
        <f t="shared" si="5"/>
        <v>1752291</v>
      </c>
      <c r="M65" s="2"/>
    </row>
    <row r="66" spans="1:13" ht="18" customHeight="1" x14ac:dyDescent="0.2">
      <c r="A66" s="386" t="s">
        <v>28</v>
      </c>
      <c r="B66" s="523" t="s">
        <v>710</v>
      </c>
      <c r="C66" s="524"/>
      <c r="D66" s="524"/>
      <c r="E66" s="524"/>
      <c r="F66" s="524"/>
      <c r="G66" s="524"/>
      <c r="H66" s="524"/>
      <c r="I66" s="524"/>
      <c r="J66" s="524"/>
      <c r="K66" s="524"/>
      <c r="L66" s="525"/>
      <c r="M66" s="2"/>
    </row>
    <row r="67" spans="1:13" ht="18" customHeight="1" x14ac:dyDescent="0.2">
      <c r="A67" s="363"/>
      <c r="B67" s="394" t="s">
        <v>26</v>
      </c>
      <c r="C67" s="529" t="s">
        <v>712</v>
      </c>
      <c r="D67" s="530"/>
      <c r="E67" s="531"/>
      <c r="F67" s="390" t="s">
        <v>548</v>
      </c>
      <c r="G67" s="391">
        <v>5705751</v>
      </c>
      <c r="H67" s="391">
        <v>160169</v>
      </c>
      <c r="I67" s="391">
        <v>0</v>
      </c>
      <c r="J67" s="391">
        <v>84700</v>
      </c>
      <c r="K67" s="391">
        <v>5950620</v>
      </c>
      <c r="L67" s="392">
        <v>5950620</v>
      </c>
      <c r="M67" s="2"/>
    </row>
    <row r="68" spans="1:13" s="2" customFormat="1" ht="24.75" customHeight="1" x14ac:dyDescent="0.2">
      <c r="A68" s="370"/>
      <c r="B68" s="369"/>
      <c r="C68" s="165"/>
      <c r="D68" s="165" t="s">
        <v>26</v>
      </c>
      <c r="E68" s="401" t="s">
        <v>715</v>
      </c>
      <c r="F68" s="165"/>
      <c r="G68" s="372">
        <v>5705751</v>
      </c>
      <c r="H68" s="372">
        <v>160169</v>
      </c>
      <c r="I68" s="372">
        <v>0</v>
      </c>
      <c r="J68" s="372">
        <v>84700</v>
      </c>
      <c r="K68" s="372">
        <v>5950620</v>
      </c>
      <c r="L68" s="33">
        <v>5950620</v>
      </c>
    </row>
    <row r="69" spans="1:13" ht="18" customHeight="1" x14ac:dyDescent="0.2">
      <c r="A69" s="363"/>
      <c r="B69" s="394" t="s">
        <v>27</v>
      </c>
      <c r="C69" s="529" t="s">
        <v>713</v>
      </c>
      <c r="D69" s="530"/>
      <c r="E69" s="531"/>
      <c r="F69" s="390" t="s">
        <v>551</v>
      </c>
      <c r="G69" s="391">
        <v>978000</v>
      </c>
      <c r="H69" s="391">
        <v>0</v>
      </c>
      <c r="I69" s="391">
        <v>0</v>
      </c>
      <c r="J69" s="391">
        <v>6</v>
      </c>
      <c r="K69" s="391">
        <v>978006</v>
      </c>
      <c r="L69" s="392">
        <v>978006</v>
      </c>
      <c r="M69" s="2"/>
    </row>
    <row r="70" spans="1:13" s="2" customFormat="1" ht="18" customHeight="1" x14ac:dyDescent="0.2">
      <c r="A70" s="370"/>
      <c r="B70" s="395"/>
      <c r="C70" s="165"/>
      <c r="D70" s="165" t="s">
        <v>26</v>
      </c>
      <c r="E70" s="398" t="s">
        <v>714</v>
      </c>
      <c r="F70" s="396"/>
      <c r="G70" s="397">
        <v>978000</v>
      </c>
      <c r="H70" s="397">
        <v>0</v>
      </c>
      <c r="I70" s="397">
        <v>0</v>
      </c>
      <c r="J70" s="397">
        <v>6</v>
      </c>
      <c r="K70" s="397">
        <v>978006</v>
      </c>
      <c r="L70" s="399">
        <v>978006</v>
      </c>
    </row>
    <row r="71" spans="1:13" ht="18" customHeight="1" thickBot="1" x14ac:dyDescent="0.25">
      <c r="A71" s="363"/>
      <c r="B71" s="526" t="s">
        <v>711</v>
      </c>
      <c r="C71" s="527"/>
      <c r="D71" s="527"/>
      <c r="E71" s="528"/>
      <c r="F71" s="393"/>
      <c r="G71" s="380">
        <f>G67+G69</f>
        <v>6683751</v>
      </c>
      <c r="H71" s="380">
        <f t="shared" ref="H71:L71" si="6">H67+H69</f>
        <v>160169</v>
      </c>
      <c r="I71" s="380">
        <f t="shared" si="6"/>
        <v>0</v>
      </c>
      <c r="J71" s="380">
        <f t="shared" si="6"/>
        <v>84706</v>
      </c>
      <c r="K71" s="380">
        <f t="shared" si="6"/>
        <v>6928626</v>
      </c>
      <c r="L71" s="400">
        <f t="shared" si="6"/>
        <v>6928626</v>
      </c>
      <c r="M71" s="2"/>
    </row>
    <row r="72" spans="1:13" ht="21" customHeight="1" thickBot="1" x14ac:dyDescent="0.25">
      <c r="A72" s="532" t="s">
        <v>709</v>
      </c>
      <c r="B72" s="533"/>
      <c r="C72" s="533"/>
      <c r="D72" s="533"/>
      <c r="E72" s="534"/>
      <c r="F72" s="156"/>
      <c r="G72" s="402">
        <f>G49+G65+G71</f>
        <v>9809466</v>
      </c>
      <c r="H72" s="402">
        <f t="shared" ref="H72:L72" si="7">H49+H65+H71</f>
        <v>677472</v>
      </c>
      <c r="I72" s="402">
        <f t="shared" si="7"/>
        <v>19760360</v>
      </c>
      <c r="J72" s="402">
        <f t="shared" si="7"/>
        <v>1999345</v>
      </c>
      <c r="K72" s="402">
        <f t="shared" si="7"/>
        <v>32246643</v>
      </c>
      <c r="L72" s="403">
        <f t="shared" si="7"/>
        <v>32246643</v>
      </c>
      <c r="M72" s="2"/>
    </row>
    <row r="73" spans="1:13" ht="15" customHeight="1" x14ac:dyDescent="0.2">
      <c r="M73" s="2"/>
    </row>
    <row r="74" spans="1:13" ht="15" customHeight="1" x14ac:dyDescent="0.2">
      <c r="M74" s="2"/>
    </row>
    <row r="75" spans="1:13" ht="15" customHeight="1" x14ac:dyDescent="0.2">
      <c r="I75" s="318"/>
      <c r="K75" s="318"/>
      <c r="L75" s="318"/>
    </row>
    <row r="76" spans="1:13" ht="15" customHeight="1" x14ac:dyDescent="0.2">
      <c r="I76" s="318"/>
      <c r="K76" s="318"/>
      <c r="L76" s="318"/>
    </row>
    <row r="78" spans="1:13" ht="15" customHeight="1" x14ac:dyDescent="0.2">
      <c r="G78" s="318"/>
      <c r="J78" s="318"/>
      <c r="K78" s="318"/>
      <c r="L78" s="318"/>
    </row>
    <row r="79" spans="1:13" s="158" customFormat="1" ht="21" customHeight="1" x14ac:dyDescent="0.2">
      <c r="A79" s="157"/>
      <c r="F79" s="159"/>
      <c r="G79" s="159"/>
      <c r="H79" s="159"/>
      <c r="I79" s="159"/>
      <c r="J79" s="159"/>
      <c r="K79" s="159"/>
      <c r="L79" s="159"/>
    </row>
    <row r="80" spans="1:13" s="158" customFormat="1" ht="15" customHeight="1" x14ac:dyDescent="0.2">
      <c r="A80" s="278"/>
      <c r="B80" s="150"/>
      <c r="C80" s="150"/>
      <c r="D80" s="150"/>
      <c r="E80" s="150"/>
      <c r="F80" s="160"/>
      <c r="G80" s="160"/>
      <c r="H80" s="160"/>
      <c r="I80" s="160"/>
      <c r="J80" s="160"/>
      <c r="K80" s="160"/>
      <c r="L80" s="160"/>
    </row>
    <row r="82" spans="6:17" ht="15" customHeight="1" x14ac:dyDescent="0.2">
      <c r="F82" s="17"/>
    </row>
    <row r="83" spans="6:17" ht="15" customHeight="1" x14ac:dyDescent="0.2">
      <c r="G83" s="318"/>
      <c r="J83" s="318"/>
    </row>
    <row r="84" spans="6:17" ht="15" customHeight="1" x14ac:dyDescent="0.2">
      <c r="G84" s="318"/>
      <c r="J84" s="318"/>
    </row>
    <row r="87" spans="6:17" ht="15" customHeight="1" x14ac:dyDescent="0.2">
      <c r="G87" s="318"/>
      <c r="J87" s="318"/>
    </row>
    <row r="88" spans="6:17" ht="15" customHeight="1" x14ac:dyDescent="0.2">
      <c r="G88" s="318"/>
      <c r="J88" s="318"/>
      <c r="K88" s="318"/>
      <c r="L88" s="318"/>
    </row>
    <row r="89" spans="6:17" ht="15" customHeight="1" x14ac:dyDescent="0.2">
      <c r="G89" s="318"/>
      <c r="J89" s="318"/>
      <c r="K89" s="318"/>
      <c r="L89" s="318"/>
    </row>
    <row r="90" spans="6:17" ht="15" customHeight="1" x14ac:dyDescent="0.2">
      <c r="G90" s="318"/>
      <c r="J90" s="318"/>
    </row>
    <row r="91" spans="6:17" ht="15" customHeight="1" x14ac:dyDescent="0.2">
      <c r="G91" s="318"/>
      <c r="J91" s="318"/>
    </row>
    <row r="92" spans="6:17" ht="15" customHeight="1" x14ac:dyDescent="0.2">
      <c r="G92" s="318"/>
      <c r="K92" s="318"/>
      <c r="L92" s="318"/>
    </row>
    <row r="93" spans="6:17" ht="15" customHeight="1" x14ac:dyDescent="0.2">
      <c r="K93" s="318"/>
      <c r="L93" s="318"/>
    </row>
    <row r="94" spans="6:17" ht="15" customHeight="1" x14ac:dyDescent="0.2">
      <c r="G94" s="318"/>
      <c r="K94" s="318"/>
      <c r="L94" s="318"/>
    </row>
    <row r="95" spans="6:17" ht="15" customHeight="1" x14ac:dyDescent="0.2">
      <c r="G95" s="318"/>
      <c r="I95" s="318"/>
      <c r="J95" s="318"/>
      <c r="K95" s="318"/>
      <c r="L95" s="318"/>
      <c r="N95" s="319"/>
      <c r="O95" s="319"/>
      <c r="P95" s="319"/>
      <c r="Q95" s="319"/>
    </row>
    <row r="96" spans="6:17" ht="15" customHeight="1" x14ac:dyDescent="0.2">
      <c r="G96" s="318"/>
      <c r="I96" s="318"/>
      <c r="J96" s="318"/>
      <c r="K96" s="318"/>
      <c r="L96" s="318"/>
    </row>
    <row r="97" spans="7:17" ht="15" customHeight="1" x14ac:dyDescent="0.2">
      <c r="G97" s="318"/>
      <c r="I97" s="318"/>
      <c r="J97" s="318"/>
      <c r="K97" s="318"/>
      <c r="L97" s="318"/>
    </row>
    <row r="99" spans="7:17" ht="15" customHeight="1" x14ac:dyDescent="0.2">
      <c r="G99" s="318"/>
      <c r="I99" s="318"/>
      <c r="J99" s="318"/>
      <c r="K99" s="318"/>
      <c r="L99" s="318"/>
      <c r="N99" s="319"/>
      <c r="O99" s="319"/>
      <c r="P99" s="319"/>
      <c r="Q99" s="319"/>
    </row>
    <row r="100" spans="7:17" ht="15" customHeight="1" x14ac:dyDescent="0.2">
      <c r="G100" s="318"/>
      <c r="J100" s="318"/>
      <c r="K100" s="318"/>
      <c r="L100" s="318"/>
    </row>
    <row r="101" spans="7:17" ht="15" customHeight="1" x14ac:dyDescent="0.2">
      <c r="G101" s="318"/>
      <c r="J101" s="318"/>
      <c r="K101" s="318"/>
      <c r="L101" s="318"/>
    </row>
    <row r="102" spans="7:17" ht="15" customHeight="1" x14ac:dyDescent="0.2">
      <c r="J102" s="318"/>
      <c r="K102" s="318"/>
      <c r="L102" s="318"/>
    </row>
    <row r="103" spans="7:17" ht="15" customHeight="1" x14ac:dyDescent="0.2">
      <c r="G103" s="318"/>
      <c r="J103" s="318"/>
    </row>
    <row r="104" spans="7:17" ht="15" customHeight="1" x14ac:dyDescent="0.2">
      <c r="G104" s="318"/>
      <c r="J104" s="318"/>
    </row>
    <row r="105" spans="7:17" ht="15" customHeight="1" x14ac:dyDescent="0.2">
      <c r="G105" s="318"/>
      <c r="J105" s="318"/>
    </row>
    <row r="106" spans="7:17" ht="15" customHeight="1" x14ac:dyDescent="0.2">
      <c r="G106" s="318"/>
      <c r="J106" s="318"/>
      <c r="K106" s="318"/>
      <c r="L106" s="318"/>
    </row>
    <row r="107" spans="7:17" ht="15" customHeight="1" x14ac:dyDescent="0.2">
      <c r="G107" s="318"/>
      <c r="J107" s="318"/>
      <c r="K107" s="318"/>
      <c r="L107" s="318"/>
    </row>
    <row r="108" spans="7:17" ht="15" customHeight="1" x14ac:dyDescent="0.2">
      <c r="G108" s="318"/>
      <c r="J108" s="318"/>
    </row>
    <row r="109" spans="7:17" ht="15" customHeight="1" x14ac:dyDescent="0.2">
      <c r="I109" s="318"/>
      <c r="K109" s="318"/>
      <c r="L109" s="318"/>
      <c r="N109" s="319"/>
      <c r="O109" s="319"/>
      <c r="P109" s="319"/>
      <c r="Q109" s="319"/>
    </row>
    <row r="110" spans="7:17" ht="15" customHeight="1" x14ac:dyDescent="0.2">
      <c r="J110" s="318"/>
      <c r="K110" s="318"/>
      <c r="L110" s="318"/>
    </row>
    <row r="114" spans="7:17" ht="15" customHeight="1" x14ac:dyDescent="0.2">
      <c r="G114" s="318"/>
      <c r="H114" s="318"/>
      <c r="J114" s="318"/>
      <c r="K114" s="318"/>
      <c r="L114" s="318"/>
    </row>
    <row r="115" spans="7:17" ht="15" customHeight="1" x14ac:dyDescent="0.2">
      <c r="G115" s="318"/>
      <c r="H115" s="318"/>
      <c r="I115" s="318"/>
      <c r="J115" s="318"/>
      <c r="K115" s="318"/>
      <c r="L115" s="318"/>
      <c r="N115" s="319"/>
      <c r="O115" s="319"/>
      <c r="P115" s="319"/>
      <c r="Q115" s="319"/>
    </row>
    <row r="117" spans="7:17" ht="15" customHeight="1" x14ac:dyDescent="0.2">
      <c r="G117" s="318"/>
      <c r="J117" s="318"/>
      <c r="K117" s="318"/>
      <c r="L117" s="318"/>
    </row>
    <row r="118" spans="7:17" ht="15" customHeight="1" x14ac:dyDescent="0.2">
      <c r="G118" s="318"/>
      <c r="J118" s="318"/>
      <c r="K118" s="318"/>
      <c r="L118" s="318"/>
    </row>
    <row r="119" spans="7:17" ht="15" customHeight="1" x14ac:dyDescent="0.2">
      <c r="G119" s="318"/>
      <c r="J119" s="318"/>
      <c r="K119" s="318"/>
      <c r="L119" s="318"/>
    </row>
    <row r="121" spans="7:17" ht="15" customHeight="1" x14ac:dyDescent="0.2">
      <c r="G121" s="318"/>
      <c r="J121" s="318"/>
      <c r="K121" s="318"/>
      <c r="L121" s="318"/>
    </row>
    <row r="122" spans="7:17" ht="15" customHeight="1" x14ac:dyDescent="0.2">
      <c r="G122" s="318"/>
      <c r="J122" s="318"/>
    </row>
    <row r="123" spans="7:17" ht="15" customHeight="1" x14ac:dyDescent="0.2">
      <c r="G123" s="318"/>
      <c r="K123" s="318"/>
      <c r="L123" s="318"/>
    </row>
    <row r="124" spans="7:17" ht="15" customHeight="1" x14ac:dyDescent="0.2">
      <c r="G124" s="318"/>
      <c r="K124" s="318"/>
      <c r="L124" s="318"/>
    </row>
    <row r="125" spans="7:17" ht="15" customHeight="1" x14ac:dyDescent="0.2">
      <c r="J125" s="318"/>
      <c r="K125" s="318"/>
      <c r="L125" s="318"/>
    </row>
    <row r="126" spans="7:17" ht="15" customHeight="1" x14ac:dyDescent="0.2">
      <c r="G126" s="318"/>
      <c r="K126" s="318"/>
      <c r="L126" s="318"/>
    </row>
    <row r="127" spans="7:17" ht="15" customHeight="1" x14ac:dyDescent="0.2">
      <c r="G127" s="318"/>
      <c r="J127" s="318"/>
      <c r="K127" s="318"/>
      <c r="L127" s="318"/>
    </row>
    <row r="128" spans="7:17" ht="15" customHeight="1" x14ac:dyDescent="0.2">
      <c r="I128" s="318"/>
      <c r="K128" s="318"/>
      <c r="L128" s="318"/>
    </row>
    <row r="129" spans="7:17" ht="15" customHeight="1" x14ac:dyDescent="0.2">
      <c r="I129" s="318"/>
      <c r="K129" s="318"/>
      <c r="L129" s="318"/>
    </row>
    <row r="130" spans="7:17" ht="15" customHeight="1" x14ac:dyDescent="0.2">
      <c r="G130" s="318"/>
      <c r="I130" s="318"/>
      <c r="J130" s="318"/>
      <c r="K130" s="318"/>
      <c r="L130" s="318"/>
    </row>
    <row r="131" spans="7:17" ht="15" customHeight="1" x14ac:dyDescent="0.2">
      <c r="G131" s="318"/>
      <c r="I131" s="318"/>
      <c r="J131" s="318"/>
      <c r="K131" s="318"/>
      <c r="L131" s="318"/>
    </row>
    <row r="133" spans="7:17" ht="15" customHeight="1" x14ac:dyDescent="0.2">
      <c r="G133" s="318"/>
      <c r="J133" s="318"/>
    </row>
    <row r="134" spans="7:17" ht="15" customHeight="1" x14ac:dyDescent="0.2">
      <c r="G134" s="318"/>
      <c r="J134" s="318"/>
    </row>
    <row r="135" spans="7:17" ht="15" customHeight="1" x14ac:dyDescent="0.2">
      <c r="G135" s="318"/>
      <c r="J135" s="318"/>
    </row>
    <row r="137" spans="7:17" ht="15" customHeight="1" x14ac:dyDescent="0.2">
      <c r="G137" s="318"/>
      <c r="H137" s="318"/>
      <c r="I137" s="318"/>
      <c r="J137" s="318"/>
      <c r="K137" s="318"/>
      <c r="L137" s="318"/>
      <c r="N137" s="319"/>
      <c r="O137" s="319"/>
      <c r="P137" s="319"/>
      <c r="Q137" s="319"/>
    </row>
  </sheetData>
  <mergeCells count="21">
    <mergeCell ref="C10:E10"/>
    <mergeCell ref="A50:A51"/>
    <mergeCell ref="B50:G50"/>
    <mergeCell ref="A1:L1"/>
    <mergeCell ref="A2:L2"/>
    <mergeCell ref="A4:E4"/>
    <mergeCell ref="B5:G5"/>
    <mergeCell ref="C6:E6"/>
    <mergeCell ref="A5:A49"/>
    <mergeCell ref="C51:E51"/>
    <mergeCell ref="A64:A65"/>
    <mergeCell ref="B65:E65"/>
    <mergeCell ref="C64:E64"/>
    <mergeCell ref="C48:E48"/>
    <mergeCell ref="B49:E49"/>
    <mergeCell ref="C59:E59"/>
    <mergeCell ref="B66:L66"/>
    <mergeCell ref="B71:E71"/>
    <mergeCell ref="C67:E67"/>
    <mergeCell ref="C69:E69"/>
    <mergeCell ref="A72:E72"/>
  </mergeCells>
  <phoneticPr fontId="6" type="noConversion"/>
  <pageMargins left="1.04" right="0.2" top="0.45" bottom="0.39" header="0.24" footer="0.18"/>
  <pageSetup paperSize="9" scale="64" orientation="portrait" r:id="rId1"/>
  <headerFooter alignWithMargins="0">
    <oddHeader>&amp;R6. számú melléklet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76"/>
  <sheetViews>
    <sheetView workbookViewId="0">
      <selection activeCell="B22" sqref="B22"/>
    </sheetView>
  </sheetViews>
  <sheetFormatPr defaultRowHeight="15" customHeight="1" x14ac:dyDescent="0.2"/>
  <cols>
    <col min="1" max="1" width="6.5703125" style="89" customWidth="1"/>
    <col min="2" max="2" width="45.85546875" style="88" customWidth="1"/>
    <col min="3" max="3" width="20" style="90" customWidth="1"/>
    <col min="4" max="16384" width="9.140625" style="88"/>
  </cols>
  <sheetData>
    <row r="1" spans="1:10" ht="15" customHeight="1" x14ac:dyDescent="0.2">
      <c r="A1" s="458" t="s">
        <v>461</v>
      </c>
      <c r="B1" s="458"/>
      <c r="C1" s="458"/>
      <c r="D1" s="12"/>
      <c r="E1" s="12"/>
      <c r="F1" s="12"/>
      <c r="G1" s="12"/>
      <c r="H1" s="12"/>
      <c r="I1" s="12"/>
      <c r="J1" s="12"/>
    </row>
    <row r="3" spans="1:10" ht="15" customHeight="1" thickBot="1" x14ac:dyDescent="0.25"/>
    <row r="4" spans="1:10" ht="29.25" customHeight="1" x14ac:dyDescent="0.2">
      <c r="A4" s="553" t="s">
        <v>144</v>
      </c>
      <c r="B4" s="555" t="s">
        <v>145</v>
      </c>
      <c r="C4" s="257" t="s">
        <v>460</v>
      </c>
    </row>
    <row r="5" spans="1:10" ht="25.5" customHeight="1" thickBot="1" x14ac:dyDescent="0.25">
      <c r="A5" s="554"/>
      <c r="B5" s="556"/>
      <c r="C5" s="258" t="s">
        <v>146</v>
      </c>
    </row>
    <row r="6" spans="1:10" ht="15" customHeight="1" x14ac:dyDescent="0.2">
      <c r="A6" s="91" t="s">
        <v>26</v>
      </c>
      <c r="B6" s="208" t="s">
        <v>147</v>
      </c>
      <c r="C6" s="259">
        <v>1</v>
      </c>
    </row>
    <row r="7" spans="1:10" ht="15" customHeight="1" x14ac:dyDescent="0.2">
      <c r="A7" s="91" t="s">
        <v>27</v>
      </c>
      <c r="B7" s="92" t="s">
        <v>462</v>
      </c>
      <c r="C7" s="259">
        <v>1</v>
      </c>
    </row>
    <row r="8" spans="1:10" ht="15" customHeight="1" x14ac:dyDescent="0.2">
      <c r="A8" s="91" t="s">
        <v>28</v>
      </c>
      <c r="B8" s="93" t="s">
        <v>148</v>
      </c>
      <c r="C8" s="262">
        <v>3</v>
      </c>
    </row>
    <row r="9" spans="1:10" ht="15" customHeight="1" x14ac:dyDescent="0.2">
      <c r="A9" s="91" t="s">
        <v>29</v>
      </c>
      <c r="B9" s="93" t="s">
        <v>149</v>
      </c>
      <c r="C9" s="262">
        <v>4</v>
      </c>
    </row>
    <row r="10" spans="1:10" ht="15" customHeight="1" x14ac:dyDescent="0.2">
      <c r="A10" s="91" t="s">
        <v>30</v>
      </c>
      <c r="B10" s="93" t="s">
        <v>463</v>
      </c>
      <c r="C10" s="262">
        <v>1</v>
      </c>
    </row>
    <row r="11" spans="1:10" ht="15" customHeight="1" thickBot="1" x14ac:dyDescent="0.25">
      <c r="A11" s="91" t="s">
        <v>32</v>
      </c>
      <c r="B11" s="92" t="s">
        <v>557</v>
      </c>
      <c r="C11" s="262">
        <v>1</v>
      </c>
    </row>
    <row r="12" spans="1:10" s="92" customFormat="1" ht="18" customHeight="1" thickBot="1" x14ac:dyDescent="0.25">
      <c r="A12" s="557" t="s">
        <v>150</v>
      </c>
      <c r="B12" s="558"/>
      <c r="C12" s="260">
        <f>SUM(C6:C11)</f>
        <v>11</v>
      </c>
    </row>
    <row r="13" spans="1:10" ht="15" customHeight="1" x14ac:dyDescent="0.2">
      <c r="B13" s="94"/>
      <c r="C13" s="95"/>
    </row>
    <row r="14" spans="1:10" ht="15" customHeight="1" x14ac:dyDescent="0.2">
      <c r="A14" s="96"/>
      <c r="B14" s="96"/>
      <c r="C14" s="95"/>
    </row>
    <row r="15" spans="1:10" ht="15" customHeight="1" x14ac:dyDescent="0.2">
      <c r="B15" s="97"/>
      <c r="C15" s="261"/>
    </row>
    <row r="16" spans="1:10" ht="15" customHeight="1" x14ac:dyDescent="0.2">
      <c r="B16" s="97"/>
      <c r="C16" s="98"/>
    </row>
    <row r="17" spans="2:3" ht="15" customHeight="1" x14ac:dyDescent="0.2">
      <c r="B17" s="94"/>
      <c r="C17" s="95"/>
    </row>
    <row r="18" spans="2:3" ht="15" customHeight="1" x14ac:dyDescent="0.2">
      <c r="B18" s="97"/>
      <c r="C18" s="98"/>
    </row>
    <row r="19" spans="2:3" ht="15" customHeight="1" x14ac:dyDescent="0.2">
      <c r="B19" s="94"/>
      <c r="C19" s="95"/>
    </row>
    <row r="20" spans="2:3" ht="15" customHeight="1" x14ac:dyDescent="0.2">
      <c r="B20" s="94"/>
      <c r="C20" s="95"/>
    </row>
    <row r="21" spans="2:3" ht="15" customHeight="1" x14ac:dyDescent="0.2">
      <c r="B21" s="94"/>
      <c r="C21" s="95"/>
    </row>
    <row r="22" spans="2:3" ht="15" customHeight="1" x14ac:dyDescent="0.2">
      <c r="B22" s="94"/>
      <c r="C22" s="95"/>
    </row>
    <row r="23" spans="2:3" ht="15" customHeight="1" x14ac:dyDescent="0.2">
      <c r="B23" s="94"/>
      <c r="C23" s="95"/>
    </row>
    <row r="24" spans="2:3" ht="15" customHeight="1" x14ac:dyDescent="0.2">
      <c r="B24" s="97"/>
      <c r="C24" s="98"/>
    </row>
    <row r="25" spans="2:3" ht="15" customHeight="1" x14ac:dyDescent="0.2">
      <c r="B25" s="97"/>
      <c r="C25" s="98"/>
    </row>
    <row r="26" spans="2:3" ht="15" customHeight="1" x14ac:dyDescent="0.2">
      <c r="B26" s="94"/>
      <c r="C26" s="95"/>
    </row>
    <row r="27" spans="2:3" ht="15" customHeight="1" x14ac:dyDescent="0.2">
      <c r="B27" s="97"/>
      <c r="C27" s="98"/>
    </row>
    <row r="28" spans="2:3" ht="15" customHeight="1" x14ac:dyDescent="0.2">
      <c r="B28" s="97"/>
      <c r="C28" s="98"/>
    </row>
    <row r="29" spans="2:3" ht="15" customHeight="1" x14ac:dyDescent="0.2">
      <c r="B29" s="97"/>
      <c r="C29" s="98"/>
    </row>
    <row r="30" spans="2:3" ht="15" customHeight="1" x14ac:dyDescent="0.2">
      <c r="B30" s="97"/>
      <c r="C30" s="98"/>
    </row>
    <row r="31" spans="2:3" ht="15" customHeight="1" x14ac:dyDescent="0.2">
      <c r="B31" s="97"/>
      <c r="C31" s="98"/>
    </row>
    <row r="32" spans="2:3" ht="15" customHeight="1" x14ac:dyDescent="0.2">
      <c r="B32" s="94"/>
      <c r="C32" s="95"/>
    </row>
    <row r="33" spans="2:3" ht="15" customHeight="1" x14ac:dyDescent="0.2">
      <c r="B33" s="94"/>
      <c r="C33" s="95"/>
    </row>
    <row r="34" spans="2:3" ht="15" customHeight="1" x14ac:dyDescent="0.2">
      <c r="B34" s="94"/>
      <c r="C34" s="95"/>
    </row>
    <row r="38" spans="2:3" ht="15" customHeight="1" x14ac:dyDescent="0.2">
      <c r="B38" s="92"/>
      <c r="C38" s="99"/>
    </row>
    <row r="39" spans="2:3" ht="15" customHeight="1" x14ac:dyDescent="0.2">
      <c r="B39" s="92"/>
      <c r="C39" s="99"/>
    </row>
    <row r="40" spans="2:3" ht="15" customHeight="1" x14ac:dyDescent="0.2">
      <c r="B40" s="92"/>
      <c r="C40" s="99"/>
    </row>
    <row r="42" spans="2:3" ht="15" customHeight="1" x14ac:dyDescent="0.2">
      <c r="B42" s="92"/>
      <c r="C42" s="99"/>
    </row>
    <row r="47" spans="2:3" ht="15" customHeight="1" x14ac:dyDescent="0.2">
      <c r="B47" s="92"/>
      <c r="C47" s="99"/>
    </row>
    <row r="55" spans="2:3" ht="15" customHeight="1" x14ac:dyDescent="0.2">
      <c r="B55" s="92"/>
      <c r="C55" s="99"/>
    </row>
    <row r="56" spans="2:3" ht="15" customHeight="1" x14ac:dyDescent="0.2">
      <c r="B56" s="92"/>
      <c r="C56" s="99"/>
    </row>
    <row r="60" spans="2:3" ht="15" customHeight="1" x14ac:dyDescent="0.2">
      <c r="B60" s="92"/>
      <c r="C60" s="99"/>
    </row>
    <row r="61" spans="2:3" ht="15" customHeight="1" x14ac:dyDescent="0.2">
      <c r="B61" s="92"/>
      <c r="C61" s="99"/>
    </row>
    <row r="62" spans="2:3" ht="15" customHeight="1" x14ac:dyDescent="0.2">
      <c r="B62" s="92"/>
      <c r="C62" s="99"/>
    </row>
    <row r="63" spans="2:3" ht="15" customHeight="1" x14ac:dyDescent="0.2">
      <c r="B63" s="92"/>
      <c r="C63" s="99"/>
    </row>
    <row r="68" spans="2:3" ht="15" customHeight="1" x14ac:dyDescent="0.2">
      <c r="B68" s="92"/>
      <c r="C68" s="99"/>
    </row>
    <row r="74" spans="2:3" ht="15" customHeight="1" x14ac:dyDescent="0.2">
      <c r="B74" s="92"/>
      <c r="C74" s="99"/>
    </row>
    <row r="76" spans="2:3" ht="15" customHeight="1" x14ac:dyDescent="0.2">
      <c r="B76" s="92"/>
      <c r="C76" s="99"/>
    </row>
  </sheetData>
  <mergeCells count="4">
    <mergeCell ref="A4:A5"/>
    <mergeCell ref="B4:B5"/>
    <mergeCell ref="A12:B12"/>
    <mergeCell ref="A1:C1"/>
  </mergeCells>
  <phoneticPr fontId="6" type="noConversion"/>
  <pageMargins left="0.96" right="0.7" top="0.75" bottom="0.75" header="0.3" footer="0.3"/>
  <pageSetup paperSize="9" orientation="portrait" r:id="rId1"/>
  <headerFooter>
    <oddHeader>&amp;R7.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G16"/>
  <sheetViews>
    <sheetView workbookViewId="0">
      <selection activeCell="D27" sqref="D27"/>
    </sheetView>
  </sheetViews>
  <sheetFormatPr defaultRowHeight="12.75" x14ac:dyDescent="0.2"/>
  <cols>
    <col min="1" max="1" width="5.28515625" customWidth="1"/>
    <col min="3" max="3" width="33.140625" customWidth="1"/>
    <col min="4" max="4" width="23.42578125" bestFit="1" customWidth="1"/>
    <col min="5" max="5" width="15.85546875" customWidth="1"/>
    <col min="6" max="6" width="20.140625" customWidth="1"/>
    <col min="7" max="7" width="23.42578125" bestFit="1" customWidth="1"/>
    <col min="8" max="8" width="10.140625" bestFit="1" customWidth="1"/>
    <col min="9" max="10" width="10.85546875" bestFit="1" customWidth="1"/>
  </cols>
  <sheetData>
    <row r="1" spans="1:7" x14ac:dyDescent="0.2">
      <c r="A1" s="458" t="s">
        <v>461</v>
      </c>
      <c r="B1" s="458"/>
      <c r="C1" s="458"/>
      <c r="D1" s="458"/>
      <c r="E1" s="458"/>
      <c r="F1" s="458"/>
      <c r="G1" s="458"/>
    </row>
    <row r="2" spans="1:7" x14ac:dyDescent="0.2">
      <c r="A2" s="458" t="s">
        <v>151</v>
      </c>
      <c r="B2" s="458"/>
      <c r="C2" s="458"/>
      <c r="D2" s="458"/>
      <c r="E2" s="458"/>
      <c r="F2" s="458"/>
      <c r="G2" s="458"/>
    </row>
    <row r="3" spans="1:7" x14ac:dyDescent="0.2">
      <c r="A3" s="3"/>
      <c r="B3" s="3"/>
      <c r="C3" s="3"/>
      <c r="D3" s="100"/>
      <c r="E3" s="100"/>
      <c r="F3" s="100"/>
      <c r="G3" s="100"/>
    </row>
    <row r="4" spans="1:7" x14ac:dyDescent="0.2">
      <c r="A4" s="3"/>
      <c r="B4" s="3"/>
      <c r="C4" s="3"/>
      <c r="D4" s="100"/>
      <c r="E4" s="100"/>
      <c r="F4" s="100"/>
      <c r="G4" s="100"/>
    </row>
    <row r="5" spans="1:7" x14ac:dyDescent="0.2">
      <c r="A5" s="3"/>
      <c r="B5" s="3"/>
      <c r="C5" s="3"/>
      <c r="D5" s="15"/>
      <c r="E5" s="15"/>
      <c r="F5" s="15"/>
      <c r="G5" s="15" t="s">
        <v>156</v>
      </c>
    </row>
    <row r="6" spans="1:7" ht="13.5" thickBot="1" x14ac:dyDescent="0.25">
      <c r="A6" s="1"/>
      <c r="B6" s="1"/>
      <c r="C6" s="2"/>
      <c r="D6" s="15"/>
      <c r="E6" s="15"/>
      <c r="F6" s="15"/>
      <c r="G6" s="15"/>
    </row>
    <row r="7" spans="1:7" ht="12.75" customHeight="1" x14ac:dyDescent="0.2">
      <c r="A7" s="559" t="s">
        <v>25</v>
      </c>
      <c r="B7" s="560"/>
      <c r="C7" s="561"/>
      <c r="D7" s="101" t="s">
        <v>465</v>
      </c>
      <c r="E7" s="101" t="s">
        <v>559</v>
      </c>
      <c r="F7" s="263" t="s">
        <v>217</v>
      </c>
      <c r="G7" s="264" t="s">
        <v>218</v>
      </c>
    </row>
    <row r="8" spans="1:7" x14ac:dyDescent="0.2">
      <c r="A8" s="562"/>
      <c r="B8" s="563"/>
      <c r="C8" s="564"/>
      <c r="D8" s="102" t="s">
        <v>146</v>
      </c>
      <c r="E8" s="102" t="s">
        <v>146</v>
      </c>
      <c r="F8" s="102" t="s">
        <v>146</v>
      </c>
      <c r="G8" s="265" t="s">
        <v>146</v>
      </c>
    </row>
    <row r="9" spans="1:7" x14ac:dyDescent="0.2">
      <c r="A9" s="4" t="s">
        <v>26</v>
      </c>
      <c r="B9" s="565" t="s">
        <v>152</v>
      </c>
      <c r="C9" s="565"/>
      <c r="D9" s="5">
        <v>30600000</v>
      </c>
      <c r="E9" s="5">
        <f>F9-D9</f>
        <v>11432377</v>
      </c>
      <c r="F9" s="5">
        <v>42032377</v>
      </c>
      <c r="G9" s="9">
        <v>40402343</v>
      </c>
    </row>
    <row r="10" spans="1:7" x14ac:dyDescent="0.2">
      <c r="A10" s="4" t="s">
        <v>27</v>
      </c>
      <c r="B10" s="256" t="s">
        <v>179</v>
      </c>
      <c r="C10" s="256"/>
      <c r="D10" s="5">
        <f>'1. Bevételek'!E32</f>
        <v>0</v>
      </c>
      <c r="E10" s="5">
        <f t="shared" ref="E10:E12" si="0">F10-D10</f>
        <v>0</v>
      </c>
      <c r="F10" s="5">
        <f>'1. Bevételek'!I32</f>
        <v>0</v>
      </c>
      <c r="G10" s="9">
        <f>'1. Bevételek'!J32</f>
        <v>0</v>
      </c>
    </row>
    <row r="11" spans="1:7" x14ac:dyDescent="0.2">
      <c r="A11" s="4" t="s">
        <v>28</v>
      </c>
      <c r="B11" s="565" t="s">
        <v>464</v>
      </c>
      <c r="C11" s="565"/>
      <c r="D11" s="5">
        <v>0</v>
      </c>
      <c r="E11" s="5">
        <f t="shared" si="0"/>
        <v>3581061</v>
      </c>
      <c r="F11" s="5">
        <v>3581061</v>
      </c>
      <c r="G11" s="9">
        <v>447154</v>
      </c>
    </row>
    <row r="12" spans="1:7" ht="13.5" thickBot="1" x14ac:dyDescent="0.25">
      <c r="A12" s="228" t="s">
        <v>29</v>
      </c>
      <c r="B12" s="567" t="s">
        <v>477</v>
      </c>
      <c r="C12" s="567"/>
      <c r="D12" s="266">
        <v>0</v>
      </c>
      <c r="E12" s="5">
        <f t="shared" si="0"/>
        <v>416254</v>
      </c>
      <c r="F12" s="266">
        <v>416254</v>
      </c>
      <c r="G12" s="267">
        <v>416254</v>
      </c>
    </row>
    <row r="13" spans="1:7" ht="13.5" thickBot="1" x14ac:dyDescent="0.25">
      <c r="A13" s="568" t="s">
        <v>153</v>
      </c>
      <c r="B13" s="569"/>
      <c r="C13" s="569"/>
      <c r="D13" s="268">
        <f>SUM(D9:D12)</f>
        <v>30600000</v>
      </c>
      <c r="E13" s="268">
        <f>SUM(E9:E12)</f>
        <v>15429692</v>
      </c>
      <c r="F13" s="268">
        <f>SUM(F9:F12)</f>
        <v>46029692</v>
      </c>
      <c r="G13" s="268">
        <f>SUM(G9:G12)</f>
        <v>41265751</v>
      </c>
    </row>
    <row r="14" spans="1:7" ht="13.5" thickBot="1" x14ac:dyDescent="0.25">
      <c r="A14" s="570" t="s">
        <v>558</v>
      </c>
      <c r="B14" s="571"/>
      <c r="C14" s="572"/>
      <c r="D14" s="269">
        <f>D13*0.5</f>
        <v>15300000</v>
      </c>
      <c r="E14" s="269">
        <f>E13*0.5</f>
        <v>7714846</v>
      </c>
      <c r="F14" s="269">
        <f>F13*0.5</f>
        <v>23014846</v>
      </c>
      <c r="G14" s="269">
        <f>G13*0.5</f>
        <v>20632875.5</v>
      </c>
    </row>
    <row r="15" spans="1:7" x14ac:dyDescent="0.2">
      <c r="A15" s="573"/>
      <c r="B15" s="573"/>
      <c r="C15" s="573"/>
      <c r="D15" s="103"/>
      <c r="E15" s="103"/>
      <c r="F15" s="103"/>
      <c r="G15" s="103"/>
    </row>
    <row r="16" spans="1:7" x14ac:dyDescent="0.2">
      <c r="A16" s="26"/>
      <c r="B16" s="566"/>
      <c r="C16" s="566"/>
      <c r="D16" s="16"/>
      <c r="E16" s="16"/>
      <c r="F16" s="16"/>
      <c r="G16" s="16"/>
    </row>
  </sheetData>
  <mergeCells count="10">
    <mergeCell ref="A1:G1"/>
    <mergeCell ref="A2:G2"/>
    <mergeCell ref="A7:C8"/>
    <mergeCell ref="B9:C9"/>
    <mergeCell ref="B16:C16"/>
    <mergeCell ref="B11:C11"/>
    <mergeCell ref="B12:C12"/>
    <mergeCell ref="A13:C13"/>
    <mergeCell ref="A14:C14"/>
    <mergeCell ref="A15:C15"/>
  </mergeCells>
  <phoneticPr fontId="6" type="noConversion"/>
  <pageMargins left="0.91" right="0.7" top="0.75" bottom="0.75" header="0.3" footer="0.3"/>
  <pageSetup paperSize="9" orientation="landscape" r:id="rId1"/>
  <headerFooter>
    <oddHeader>&amp;R8.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179"/>
  <sheetViews>
    <sheetView showWhiteSpace="0" view="pageLayout" zoomScaleNormal="100" workbookViewId="0">
      <selection activeCell="E178" sqref="E178"/>
    </sheetView>
  </sheetViews>
  <sheetFormatPr defaultRowHeight="15.75" x14ac:dyDescent="0.25"/>
  <cols>
    <col min="1" max="1" width="48.7109375" style="197" customWidth="1"/>
    <col min="2" max="2" width="16" style="300" bestFit="1" customWidth="1"/>
    <col min="3" max="3" width="12.7109375" style="300" bestFit="1" customWidth="1"/>
    <col min="4" max="4" width="14.28515625" style="299" bestFit="1" customWidth="1"/>
    <col min="5" max="5" width="16" style="299" bestFit="1" customWidth="1"/>
    <col min="6" max="7" width="9.140625" style="197"/>
    <col min="8" max="8" width="16.28515625" style="197" customWidth="1"/>
    <col min="9" max="9" width="10.140625" style="197" bestFit="1" customWidth="1"/>
    <col min="10" max="10" width="9.7109375" style="197" bestFit="1" customWidth="1"/>
    <col min="11" max="12" width="9.140625" style="197"/>
    <col min="13" max="14" width="10.140625" style="197" bestFit="1" customWidth="1"/>
    <col min="15" max="15" width="10.7109375" style="197" bestFit="1" customWidth="1"/>
    <col min="16" max="16384" width="9.140625" style="197"/>
  </cols>
  <sheetData>
    <row r="1" spans="1:5" x14ac:dyDescent="0.25">
      <c r="A1" s="574" t="s">
        <v>564</v>
      </c>
      <c r="B1" s="575"/>
      <c r="C1" s="575"/>
      <c r="D1" s="575"/>
      <c r="E1" s="575"/>
    </row>
    <row r="2" spans="1:5" x14ac:dyDescent="0.25">
      <c r="A2" s="274"/>
      <c r="B2" s="291"/>
      <c r="C2" s="291"/>
      <c r="D2" s="291"/>
      <c r="E2" s="291"/>
    </row>
    <row r="3" spans="1:5" ht="15.75" customHeight="1" x14ac:dyDescent="0.25">
      <c r="A3" s="198"/>
      <c r="B3" s="292" t="s">
        <v>565</v>
      </c>
      <c r="C3" s="292" t="s">
        <v>566</v>
      </c>
      <c r="D3" s="292" t="s">
        <v>567</v>
      </c>
      <c r="E3" s="276" t="s">
        <v>568</v>
      </c>
    </row>
    <row r="4" spans="1:5" x14ac:dyDescent="0.25">
      <c r="A4" s="200" t="s">
        <v>237</v>
      </c>
      <c r="B4" s="287"/>
      <c r="C4" s="287"/>
      <c r="D4" s="285"/>
      <c r="E4" s="283"/>
    </row>
    <row r="5" spans="1:5" x14ac:dyDescent="0.25">
      <c r="A5" s="201" t="s">
        <v>238</v>
      </c>
      <c r="B5" s="290"/>
      <c r="C5" s="290"/>
      <c r="D5" s="293"/>
      <c r="E5" s="285">
        <f>SUM(D9+D14)</f>
        <v>1400930</v>
      </c>
    </row>
    <row r="6" spans="1:5" hidden="1" x14ac:dyDescent="0.25">
      <c r="A6" s="202" t="s">
        <v>239</v>
      </c>
      <c r="B6" s="287"/>
      <c r="C6" s="287"/>
      <c r="D6" s="290"/>
      <c r="E6" s="286"/>
    </row>
    <row r="7" spans="1:5" hidden="1" x14ac:dyDescent="0.25">
      <c r="A7" s="202" t="s">
        <v>240</v>
      </c>
      <c r="B7" s="287"/>
      <c r="C7" s="287"/>
      <c r="D7" s="290"/>
      <c r="E7" s="286"/>
    </row>
    <row r="8" spans="1:5" hidden="1" x14ac:dyDescent="0.25">
      <c r="A8" s="202" t="s">
        <v>241</v>
      </c>
      <c r="B8" s="287"/>
      <c r="C8" s="287"/>
      <c r="D8" s="290"/>
      <c r="E8" s="286"/>
    </row>
    <row r="9" spans="1:5" x14ac:dyDescent="0.25">
      <c r="A9" s="203" t="s">
        <v>242</v>
      </c>
      <c r="B9" s="287"/>
      <c r="C9" s="287"/>
      <c r="D9" s="294">
        <f>B6+B7-B8</f>
        <v>0</v>
      </c>
      <c r="E9" s="286"/>
    </row>
    <row r="10" spans="1:5" x14ac:dyDescent="0.25">
      <c r="A10" s="202" t="s">
        <v>579</v>
      </c>
      <c r="B10" s="288">
        <v>1800040</v>
      </c>
      <c r="C10" s="290"/>
      <c r="D10" s="290"/>
      <c r="E10" s="286"/>
    </row>
    <row r="11" spans="1:5" hidden="1" x14ac:dyDescent="0.25">
      <c r="A11" s="202" t="s">
        <v>243</v>
      </c>
      <c r="B11" s="287"/>
      <c r="C11" s="290"/>
      <c r="D11" s="290"/>
      <c r="E11" s="286"/>
    </row>
    <row r="12" spans="1:5" x14ac:dyDescent="0.25">
      <c r="A12" s="202" t="s">
        <v>580</v>
      </c>
      <c r="B12" s="288">
        <v>50800</v>
      </c>
      <c r="C12" s="290"/>
      <c r="D12" s="290"/>
      <c r="E12" s="286"/>
    </row>
    <row r="13" spans="1:5" x14ac:dyDescent="0.25">
      <c r="A13" s="202" t="s">
        <v>244</v>
      </c>
      <c r="B13" s="288"/>
      <c r="C13" s="288">
        <v>449910</v>
      </c>
      <c r="D13" s="290"/>
      <c r="E13" s="286"/>
    </row>
    <row r="14" spans="1:5" x14ac:dyDescent="0.25">
      <c r="A14" s="203" t="s">
        <v>245</v>
      </c>
      <c r="B14" s="287"/>
      <c r="C14" s="287"/>
      <c r="D14" s="294">
        <f>B10+B12-C13</f>
        <v>1400930</v>
      </c>
      <c r="E14" s="286"/>
    </row>
    <row r="15" spans="1:5" ht="12" customHeight="1" x14ac:dyDescent="0.25">
      <c r="A15" s="202"/>
      <c r="B15" s="287"/>
      <c r="C15" s="287"/>
      <c r="D15" s="290"/>
      <c r="E15" s="286"/>
    </row>
    <row r="16" spans="1:5" x14ac:dyDescent="0.25">
      <c r="A16" s="201" t="s">
        <v>246</v>
      </c>
      <c r="B16" s="287"/>
      <c r="C16" s="287"/>
      <c r="D16" s="290"/>
      <c r="E16" s="285">
        <f>D52+D73+D75</f>
        <v>748080957</v>
      </c>
    </row>
    <row r="17" spans="1:8" ht="10.5" customHeight="1" x14ac:dyDescent="0.25">
      <c r="A17" s="201"/>
      <c r="B17" s="287"/>
      <c r="C17" s="287"/>
      <c r="D17" s="285"/>
      <c r="E17" s="283"/>
    </row>
    <row r="18" spans="1:8" hidden="1" x14ac:dyDescent="0.25">
      <c r="A18" s="202" t="s">
        <v>247</v>
      </c>
      <c r="B18" s="287"/>
      <c r="C18" s="290"/>
      <c r="D18" s="285"/>
      <c r="E18" s="283"/>
      <c r="H18" s="199"/>
    </row>
    <row r="19" spans="1:8" hidden="1" x14ac:dyDescent="0.25">
      <c r="A19" s="202" t="s">
        <v>248</v>
      </c>
      <c r="B19" s="287"/>
      <c r="C19" s="290"/>
      <c r="D19" s="285"/>
      <c r="E19" s="283"/>
      <c r="H19" s="199"/>
    </row>
    <row r="20" spans="1:8" hidden="1" x14ac:dyDescent="0.25">
      <c r="A20" s="202" t="s">
        <v>249</v>
      </c>
      <c r="B20" s="287"/>
      <c r="C20" s="290"/>
      <c r="D20" s="285"/>
      <c r="E20" s="283"/>
      <c r="H20" s="199"/>
    </row>
    <row r="21" spans="1:8" x14ac:dyDescent="0.25">
      <c r="A21" s="202" t="s">
        <v>573</v>
      </c>
      <c r="B21" s="288">
        <v>32040020</v>
      </c>
      <c r="C21" s="290"/>
      <c r="D21" s="285"/>
      <c r="E21" s="283"/>
      <c r="H21" s="199"/>
    </row>
    <row r="22" spans="1:8" x14ac:dyDescent="0.25">
      <c r="A22" s="202" t="s">
        <v>571</v>
      </c>
      <c r="B22" s="288">
        <v>61986535</v>
      </c>
      <c r="C22" s="287"/>
      <c r="D22" s="285"/>
      <c r="E22" s="283"/>
      <c r="H22" s="199"/>
    </row>
    <row r="23" spans="1:8" hidden="1" x14ac:dyDescent="0.25">
      <c r="A23" s="202" t="s">
        <v>250</v>
      </c>
      <c r="B23" s="287"/>
      <c r="C23" s="287"/>
      <c r="D23" s="285"/>
      <c r="E23" s="283"/>
      <c r="H23" s="199"/>
    </row>
    <row r="24" spans="1:8" hidden="1" x14ac:dyDescent="0.25">
      <c r="A24" s="202" t="s">
        <v>251</v>
      </c>
      <c r="B24" s="287"/>
      <c r="C24" s="287"/>
      <c r="D24" s="285"/>
      <c r="E24" s="283"/>
      <c r="H24" s="199"/>
    </row>
    <row r="25" spans="1:8" x14ac:dyDescent="0.25">
      <c r="A25" s="202"/>
      <c r="B25" s="287"/>
      <c r="C25" s="287"/>
      <c r="D25" s="285"/>
      <c r="E25" s="283"/>
      <c r="H25" s="199"/>
    </row>
    <row r="26" spans="1:8" x14ac:dyDescent="0.25">
      <c r="A26" s="202" t="s">
        <v>572</v>
      </c>
      <c r="B26" s="288">
        <v>6880000</v>
      </c>
      <c r="C26" s="287"/>
      <c r="D26" s="285"/>
      <c r="E26" s="283"/>
    </row>
    <row r="27" spans="1:8" hidden="1" x14ac:dyDescent="0.25">
      <c r="A27" s="202" t="s">
        <v>401</v>
      </c>
      <c r="B27" s="287"/>
      <c r="C27" s="287"/>
      <c r="D27" s="285"/>
      <c r="E27" s="283"/>
    </row>
    <row r="28" spans="1:8" hidden="1" x14ac:dyDescent="0.25">
      <c r="A28" s="202" t="s">
        <v>252</v>
      </c>
      <c r="B28" s="287"/>
      <c r="C28" s="287"/>
      <c r="D28" s="285"/>
      <c r="E28" s="283"/>
    </row>
    <row r="29" spans="1:8" hidden="1" x14ac:dyDescent="0.25">
      <c r="A29" s="202" t="s">
        <v>253</v>
      </c>
      <c r="B29" s="287"/>
      <c r="C29" s="287"/>
      <c r="D29" s="285"/>
      <c r="E29" s="283"/>
    </row>
    <row r="30" spans="1:8" hidden="1" x14ac:dyDescent="0.25">
      <c r="A30" s="202" t="s">
        <v>254</v>
      </c>
      <c r="B30" s="287"/>
      <c r="C30" s="287"/>
      <c r="D30" s="285"/>
      <c r="E30" s="283"/>
    </row>
    <row r="31" spans="1:8" x14ac:dyDescent="0.25">
      <c r="A31" s="202" t="s">
        <v>583</v>
      </c>
      <c r="B31" s="287"/>
      <c r="C31" s="288">
        <v>247315</v>
      </c>
      <c r="D31" s="285"/>
      <c r="E31" s="283"/>
    </row>
    <row r="32" spans="1:8" x14ac:dyDescent="0.25">
      <c r="A32" s="202" t="s">
        <v>574</v>
      </c>
      <c r="B32" s="288">
        <v>10682803</v>
      </c>
      <c r="C32" s="287"/>
      <c r="D32" s="285"/>
      <c r="E32" s="283"/>
    </row>
    <row r="33" spans="1:5" x14ac:dyDescent="0.25">
      <c r="A33" s="202" t="s">
        <v>584</v>
      </c>
      <c r="B33" s="288"/>
      <c r="C33" s="288">
        <v>1608462</v>
      </c>
      <c r="D33" s="285"/>
      <c r="E33" s="283"/>
    </row>
    <row r="34" spans="1:5" x14ac:dyDescent="0.25">
      <c r="A34" s="202" t="s">
        <v>575</v>
      </c>
      <c r="B34" s="288">
        <v>646297692</v>
      </c>
      <c r="C34" s="287"/>
      <c r="D34" s="285"/>
      <c r="E34" s="283"/>
    </row>
    <row r="35" spans="1:5" x14ac:dyDescent="0.25">
      <c r="A35" s="202" t="s">
        <v>585</v>
      </c>
      <c r="B35" s="287"/>
      <c r="C35" s="288">
        <v>153651723</v>
      </c>
      <c r="D35" s="285"/>
      <c r="E35" s="283"/>
    </row>
    <row r="36" spans="1:5" hidden="1" x14ac:dyDescent="0.25">
      <c r="A36" s="204" t="s">
        <v>255</v>
      </c>
      <c r="B36" s="287"/>
      <c r="C36" s="287"/>
      <c r="D36" s="285"/>
      <c r="E36" s="283"/>
    </row>
    <row r="37" spans="1:5" hidden="1" x14ac:dyDescent="0.25">
      <c r="A37" s="202" t="s">
        <v>256</v>
      </c>
      <c r="B37" s="287"/>
      <c r="C37" s="287"/>
      <c r="D37" s="285"/>
      <c r="E37" s="283"/>
    </row>
    <row r="38" spans="1:5" ht="12.75" customHeight="1" x14ac:dyDescent="0.25">
      <c r="A38" s="202"/>
      <c r="B38" s="287"/>
      <c r="C38" s="287"/>
      <c r="D38" s="285"/>
      <c r="E38" s="283"/>
    </row>
    <row r="39" spans="1:5" hidden="1" x14ac:dyDescent="0.25">
      <c r="A39" s="202" t="s">
        <v>257</v>
      </c>
      <c r="B39" s="287"/>
      <c r="C39" s="287"/>
      <c r="D39" s="285"/>
      <c r="E39" s="283"/>
    </row>
    <row r="40" spans="1:5" hidden="1" x14ac:dyDescent="0.25">
      <c r="A40" s="202" t="s">
        <v>258</v>
      </c>
      <c r="B40" s="287"/>
      <c r="C40" s="287"/>
      <c r="D40" s="285"/>
      <c r="E40" s="283"/>
    </row>
    <row r="41" spans="1:5" x14ac:dyDescent="0.25">
      <c r="A41" s="202" t="s">
        <v>576</v>
      </c>
      <c r="B41" s="288">
        <v>154528954</v>
      </c>
      <c r="C41" s="287"/>
      <c r="D41" s="285"/>
      <c r="E41" s="283"/>
    </row>
    <row r="42" spans="1:5" x14ac:dyDescent="0.25">
      <c r="A42" s="202" t="s">
        <v>586</v>
      </c>
      <c r="B42" s="288"/>
      <c r="C42" s="288">
        <v>70947220</v>
      </c>
      <c r="D42" s="285"/>
      <c r="E42" s="283"/>
    </row>
    <row r="43" spans="1:5" x14ac:dyDescent="0.25">
      <c r="A43" s="202" t="s">
        <v>577</v>
      </c>
      <c r="B43" s="288">
        <v>10584709</v>
      </c>
      <c r="C43" s="287"/>
      <c r="D43" s="285"/>
      <c r="E43" s="283"/>
    </row>
    <row r="44" spans="1:5" x14ac:dyDescent="0.25">
      <c r="A44" s="202" t="s">
        <v>587</v>
      </c>
      <c r="B44" s="288"/>
      <c r="C44" s="288">
        <v>2503771</v>
      </c>
      <c r="D44" s="285"/>
      <c r="E44" s="283"/>
    </row>
    <row r="45" spans="1:5" x14ac:dyDescent="0.25">
      <c r="A45" s="202" t="s">
        <v>578</v>
      </c>
      <c r="B45" s="288">
        <v>804000</v>
      </c>
      <c r="C45" s="287"/>
      <c r="D45" s="285"/>
      <c r="E45" s="283"/>
    </row>
    <row r="46" spans="1:5" x14ac:dyDescent="0.25">
      <c r="A46" s="202" t="s">
        <v>588</v>
      </c>
      <c r="B46" s="287"/>
      <c r="C46" s="288">
        <v>804000</v>
      </c>
      <c r="D46" s="285"/>
      <c r="E46" s="283"/>
    </row>
    <row r="47" spans="1:5" x14ac:dyDescent="0.25">
      <c r="A47" s="202" t="s">
        <v>581</v>
      </c>
      <c r="B47" s="288">
        <v>271874</v>
      </c>
      <c r="C47" s="287"/>
      <c r="D47" s="285"/>
      <c r="E47" s="283"/>
    </row>
    <row r="48" spans="1:5" x14ac:dyDescent="0.25">
      <c r="A48" s="203"/>
      <c r="B48" s="287"/>
      <c r="C48" s="294"/>
      <c r="D48" s="285"/>
      <c r="E48" s="283"/>
    </row>
    <row r="49" spans="1:11" x14ac:dyDescent="0.25">
      <c r="A49" s="202" t="s">
        <v>402</v>
      </c>
      <c r="B49" s="288">
        <v>0</v>
      </c>
      <c r="C49" s="288">
        <v>0</v>
      </c>
      <c r="D49" s="290"/>
      <c r="E49" s="283"/>
    </row>
    <row r="50" spans="1:11" ht="15" customHeight="1" x14ac:dyDescent="0.25">
      <c r="A50" s="202" t="s">
        <v>403</v>
      </c>
      <c r="B50" s="288"/>
      <c r="C50" s="288">
        <v>0</v>
      </c>
      <c r="D50" s="290"/>
      <c r="E50" s="283"/>
    </row>
    <row r="51" spans="1:11" ht="11.25" customHeight="1" x14ac:dyDescent="0.25">
      <c r="A51" s="202"/>
      <c r="B51" s="287"/>
      <c r="C51" s="287"/>
      <c r="D51" s="290"/>
      <c r="E51" s="283"/>
    </row>
    <row r="52" spans="1:11" x14ac:dyDescent="0.25">
      <c r="A52" s="277" t="s">
        <v>582</v>
      </c>
      <c r="B52" s="295">
        <f>SUM(B21:B51)</f>
        <v>924076587</v>
      </c>
      <c r="C52" s="288">
        <f>SUM(C21:C51)</f>
        <v>229762491</v>
      </c>
      <c r="D52" s="294">
        <f>B52-C52</f>
        <v>694314096</v>
      </c>
      <c r="E52" s="283"/>
    </row>
    <row r="53" spans="1:11" x14ac:dyDescent="0.25">
      <c r="A53" s="277"/>
      <c r="B53" s="296"/>
      <c r="C53" s="287"/>
      <c r="D53" s="297"/>
      <c r="E53" s="283"/>
    </row>
    <row r="54" spans="1:11" x14ac:dyDescent="0.25">
      <c r="A54" s="205" t="s">
        <v>589</v>
      </c>
      <c r="B54" s="288">
        <v>253500</v>
      </c>
      <c r="C54" s="287"/>
      <c r="D54" s="290"/>
      <c r="E54" s="283"/>
    </row>
    <row r="55" spans="1:11" x14ac:dyDescent="0.25">
      <c r="A55" s="205" t="s">
        <v>592</v>
      </c>
      <c r="B55" s="288">
        <v>576020</v>
      </c>
      <c r="C55" s="286"/>
      <c r="D55" s="286"/>
      <c r="E55" s="283"/>
      <c r="F55" s="198"/>
      <c r="K55" s="206"/>
    </row>
    <row r="56" spans="1:11" x14ac:dyDescent="0.25">
      <c r="A56" s="205" t="s">
        <v>597</v>
      </c>
      <c r="B56" s="287"/>
      <c r="C56" s="288">
        <v>775686</v>
      </c>
      <c r="D56" s="290"/>
      <c r="E56" s="283"/>
    </row>
    <row r="57" spans="1:11" ht="17.25" customHeight="1" x14ac:dyDescent="0.25">
      <c r="A57" s="205" t="s">
        <v>593</v>
      </c>
      <c r="B57" s="288">
        <v>90600</v>
      </c>
      <c r="C57" s="287"/>
      <c r="D57" s="290"/>
      <c r="E57" s="283"/>
    </row>
    <row r="58" spans="1:11" ht="17.25" customHeight="1" x14ac:dyDescent="0.25">
      <c r="A58" s="205" t="s">
        <v>598</v>
      </c>
      <c r="B58" s="288"/>
      <c r="C58" s="288">
        <v>90600</v>
      </c>
      <c r="D58" s="290"/>
      <c r="E58" s="283"/>
    </row>
    <row r="59" spans="1:11" x14ac:dyDescent="0.25">
      <c r="A59" s="207" t="s">
        <v>259</v>
      </c>
      <c r="B59" s="298"/>
      <c r="C59" s="297"/>
      <c r="D59" s="294">
        <f>B54+B55+B57+-C56-C58</f>
        <v>53834</v>
      </c>
      <c r="E59" s="289"/>
    </row>
    <row r="60" spans="1:11" ht="9" customHeight="1" x14ac:dyDescent="0.25">
      <c r="A60" s="205"/>
      <c r="B60" s="287"/>
      <c r="C60" s="287"/>
      <c r="D60" s="290"/>
      <c r="E60" s="283"/>
    </row>
    <row r="61" spans="1:11" ht="18" customHeight="1" x14ac:dyDescent="0.25">
      <c r="A61" s="205" t="s">
        <v>590</v>
      </c>
      <c r="B61" s="288">
        <v>6091635</v>
      </c>
      <c r="C61" s="287"/>
      <c r="D61" s="290"/>
      <c r="E61" s="283"/>
    </row>
    <row r="62" spans="1:11" ht="31.5" x14ac:dyDescent="0.25">
      <c r="A62" s="205" t="s">
        <v>594</v>
      </c>
      <c r="B62" s="288">
        <v>5909522</v>
      </c>
      <c r="C62" s="287"/>
      <c r="D62" s="290"/>
      <c r="E62" s="283"/>
    </row>
    <row r="63" spans="1:11" ht="31.5" x14ac:dyDescent="0.25">
      <c r="A63" s="205" t="s">
        <v>595</v>
      </c>
      <c r="B63" s="288">
        <v>482826</v>
      </c>
      <c r="C63" s="287"/>
      <c r="D63" s="290"/>
      <c r="E63" s="283"/>
    </row>
    <row r="64" spans="1:11" x14ac:dyDescent="0.25">
      <c r="A64" s="205" t="s">
        <v>601</v>
      </c>
      <c r="B64" s="288"/>
      <c r="C64" s="288">
        <v>6800315</v>
      </c>
      <c r="D64" s="290"/>
      <c r="E64" s="283"/>
    </row>
    <row r="65" spans="1:5" ht="30.75" customHeight="1" x14ac:dyDescent="0.25">
      <c r="A65" s="205" t="s">
        <v>596</v>
      </c>
      <c r="B65" s="288">
        <v>1759655</v>
      </c>
      <c r="C65" s="287"/>
      <c r="D65" s="290"/>
      <c r="E65" s="283"/>
    </row>
    <row r="66" spans="1:5" ht="17.25" customHeight="1" x14ac:dyDescent="0.25">
      <c r="A66" s="205" t="s">
        <v>599</v>
      </c>
      <c r="B66" s="288"/>
      <c r="C66" s="288">
        <v>1759655</v>
      </c>
      <c r="D66" s="290"/>
      <c r="E66" s="283"/>
    </row>
    <row r="67" spans="1:5" ht="15.75" customHeight="1" x14ac:dyDescent="0.25">
      <c r="A67" s="207" t="s">
        <v>260</v>
      </c>
      <c r="B67" s="287"/>
      <c r="C67" s="290"/>
      <c r="D67" s="285">
        <f>B61+B62+B63+B65+-C64-C66</f>
        <v>5683668</v>
      </c>
      <c r="E67" s="283"/>
    </row>
    <row r="68" spans="1:5" x14ac:dyDescent="0.25">
      <c r="A68" s="207"/>
      <c r="B68" s="287"/>
      <c r="C68" s="290"/>
      <c r="D68" s="290"/>
      <c r="E68" s="283"/>
    </row>
    <row r="69" spans="1:5" x14ac:dyDescent="0.25">
      <c r="A69" s="202" t="s">
        <v>591</v>
      </c>
      <c r="B69" s="288">
        <v>5130000</v>
      </c>
      <c r="C69" s="287"/>
      <c r="D69" s="287"/>
      <c r="E69" s="283"/>
    </row>
    <row r="70" spans="1:5" x14ac:dyDescent="0.25">
      <c r="A70" s="202" t="s">
        <v>600</v>
      </c>
      <c r="B70" s="287"/>
      <c r="C70" s="288">
        <v>710500</v>
      </c>
      <c r="D70" s="287"/>
      <c r="E70" s="283"/>
    </row>
    <row r="71" spans="1:5" x14ac:dyDescent="0.25">
      <c r="A71" s="203" t="s">
        <v>261</v>
      </c>
      <c r="B71" s="290"/>
      <c r="C71" s="290"/>
      <c r="D71" s="285">
        <f>B69-C70</f>
        <v>4419500</v>
      </c>
      <c r="E71" s="293"/>
    </row>
    <row r="72" spans="1:5" x14ac:dyDescent="0.25">
      <c r="A72" s="203"/>
      <c r="B72" s="290"/>
      <c r="C72" s="290"/>
      <c r="D72" s="285"/>
      <c r="E72" s="293"/>
    </row>
    <row r="73" spans="1:5" ht="31.5" x14ac:dyDescent="0.25">
      <c r="A73" s="280" t="s">
        <v>602</v>
      </c>
      <c r="B73" s="285">
        <f>SUM(B54:B72)</f>
        <v>20293758</v>
      </c>
      <c r="C73" s="285">
        <f>SUM(C56:C72)</f>
        <v>10136756</v>
      </c>
      <c r="D73" s="285">
        <f>SUM(D59:D71)</f>
        <v>10157002</v>
      </c>
      <c r="E73" s="290"/>
    </row>
    <row r="74" spans="1:5" ht="11.25" customHeight="1" x14ac:dyDescent="0.25">
      <c r="A74" s="203"/>
      <c r="B74" s="290"/>
      <c r="C74" s="290"/>
      <c r="D74" s="285"/>
      <c r="E74" s="282"/>
    </row>
    <row r="75" spans="1:5" x14ac:dyDescent="0.25">
      <c r="A75" s="201" t="s">
        <v>404</v>
      </c>
      <c r="B75" s="290"/>
      <c r="C75" s="293"/>
      <c r="D75" s="285">
        <v>43609859</v>
      </c>
      <c r="E75" s="293"/>
    </row>
    <row r="76" spans="1:5" ht="9.75" customHeight="1" x14ac:dyDescent="0.25">
      <c r="A76" s="201"/>
      <c r="B76" s="290"/>
      <c r="C76" s="293"/>
      <c r="D76" s="290"/>
      <c r="E76" s="293"/>
    </row>
    <row r="77" spans="1:5" x14ac:dyDescent="0.25">
      <c r="A77" s="201" t="s">
        <v>262</v>
      </c>
      <c r="B77" s="287"/>
      <c r="C77" s="287"/>
      <c r="D77" s="290"/>
      <c r="E77" s="285">
        <f>SUM(D79:D81)</f>
        <v>3620000</v>
      </c>
    </row>
    <row r="78" spans="1:5" x14ac:dyDescent="0.25">
      <c r="A78" s="201"/>
      <c r="B78" s="287"/>
      <c r="C78" s="287"/>
      <c r="D78" s="290"/>
      <c r="E78" s="286"/>
    </row>
    <row r="79" spans="1:5" x14ac:dyDescent="0.25">
      <c r="A79" s="202" t="s">
        <v>263</v>
      </c>
      <c r="B79" s="287"/>
      <c r="C79" s="287"/>
      <c r="D79" s="285">
        <v>3620000</v>
      </c>
      <c r="E79" s="286"/>
    </row>
    <row r="80" spans="1:5" x14ac:dyDescent="0.25">
      <c r="A80" s="202" t="s">
        <v>264</v>
      </c>
      <c r="B80" s="287"/>
      <c r="C80" s="287"/>
      <c r="D80" s="285">
        <v>0</v>
      </c>
      <c r="E80" s="286"/>
    </row>
    <row r="81" spans="1:8" x14ac:dyDescent="0.25">
      <c r="A81" s="202" t="s">
        <v>265</v>
      </c>
      <c r="B81" s="287"/>
      <c r="C81" s="287"/>
      <c r="D81" s="285">
        <v>0</v>
      </c>
      <c r="E81" s="290"/>
    </row>
    <row r="82" spans="1:8" x14ac:dyDescent="0.25">
      <c r="A82" s="202"/>
      <c r="B82" s="287"/>
      <c r="C82" s="287"/>
      <c r="D82" s="290"/>
      <c r="E82" s="290"/>
    </row>
    <row r="83" spans="1:8" x14ac:dyDescent="0.25">
      <c r="A83" s="201" t="s">
        <v>266</v>
      </c>
      <c r="B83" s="287"/>
      <c r="C83" s="287"/>
      <c r="D83" s="290"/>
      <c r="E83" s="285">
        <f>D89</f>
        <v>292603487</v>
      </c>
    </row>
    <row r="84" spans="1:8" ht="10.5" customHeight="1" x14ac:dyDescent="0.25">
      <c r="A84" s="201"/>
      <c r="B84" s="287"/>
      <c r="C84" s="287"/>
      <c r="D84" s="290"/>
      <c r="E84" s="290"/>
    </row>
    <row r="85" spans="1:8" x14ac:dyDescent="0.25">
      <c r="A85" s="202" t="s">
        <v>605</v>
      </c>
      <c r="B85" s="288">
        <v>9669779</v>
      </c>
      <c r="C85" s="287"/>
      <c r="D85" s="290"/>
      <c r="E85" s="286"/>
      <c r="H85" s="206"/>
    </row>
    <row r="86" spans="1:8" x14ac:dyDescent="0.25">
      <c r="A86" s="202" t="s">
        <v>604</v>
      </c>
      <c r="B86" s="290"/>
      <c r="C86" s="288">
        <v>4111254</v>
      </c>
      <c r="D86" s="290"/>
      <c r="E86" s="286"/>
      <c r="H86" s="206"/>
    </row>
    <row r="87" spans="1:8" x14ac:dyDescent="0.25">
      <c r="A87" s="202" t="s">
        <v>603</v>
      </c>
      <c r="B87" s="288">
        <v>327604381</v>
      </c>
      <c r="C87" s="287"/>
      <c r="D87" s="290"/>
      <c r="E87" s="286"/>
      <c r="H87" s="206"/>
    </row>
    <row r="88" spans="1:8" x14ac:dyDescent="0.25">
      <c r="A88" s="202" t="s">
        <v>606</v>
      </c>
      <c r="B88" s="290"/>
      <c r="C88" s="288">
        <v>40559419</v>
      </c>
      <c r="D88" s="290"/>
      <c r="E88" s="286"/>
      <c r="H88" s="206"/>
    </row>
    <row r="89" spans="1:8" x14ac:dyDescent="0.25">
      <c r="A89" s="202"/>
      <c r="B89" s="287"/>
      <c r="C89" s="287"/>
      <c r="D89" s="285">
        <f>B85+B87-C86-C88</f>
        <v>292603487</v>
      </c>
      <c r="E89" s="286"/>
      <c r="H89" s="206"/>
    </row>
    <row r="90" spans="1:8" ht="9" customHeight="1" x14ac:dyDescent="0.25">
      <c r="A90" s="201"/>
      <c r="B90" s="287"/>
      <c r="C90" s="287"/>
      <c r="D90" s="290"/>
      <c r="E90" s="286"/>
    </row>
    <row r="91" spans="1:8" x14ac:dyDescent="0.25">
      <c r="A91" s="200" t="s">
        <v>267</v>
      </c>
      <c r="B91" s="298"/>
      <c r="C91" s="298"/>
      <c r="D91" s="297"/>
      <c r="E91" s="294">
        <f>SUM(E5:E90)</f>
        <v>1045705374</v>
      </c>
    </row>
    <row r="92" spans="1:8" ht="16.5" customHeight="1" x14ac:dyDescent="0.25">
      <c r="A92" s="202"/>
      <c r="B92" s="287"/>
      <c r="C92" s="287"/>
      <c r="D92" s="285"/>
      <c r="E92" s="283"/>
    </row>
    <row r="93" spans="1:8" x14ac:dyDescent="0.25">
      <c r="A93" s="201" t="s">
        <v>268</v>
      </c>
      <c r="B93" s="287"/>
      <c r="C93" s="287"/>
      <c r="D93" s="285"/>
      <c r="E93" s="283"/>
    </row>
    <row r="94" spans="1:8" x14ac:dyDescent="0.25">
      <c r="A94" s="202" t="s">
        <v>607</v>
      </c>
      <c r="B94" s="288">
        <v>0</v>
      </c>
      <c r="C94" s="288"/>
      <c r="D94" s="285"/>
      <c r="E94" s="283"/>
    </row>
    <row r="95" spans="1:8" ht="24.75" customHeight="1" x14ac:dyDescent="0.25">
      <c r="A95" s="200" t="s">
        <v>269</v>
      </c>
      <c r="B95" s="287"/>
      <c r="C95" s="287"/>
      <c r="D95" s="285"/>
      <c r="E95" s="294">
        <f>B94</f>
        <v>0</v>
      </c>
    </row>
    <row r="96" spans="1:8" ht="24.75" customHeight="1" x14ac:dyDescent="0.25">
      <c r="A96" s="200"/>
      <c r="B96" s="287"/>
      <c r="C96" s="287"/>
      <c r="D96" s="285"/>
      <c r="E96" s="285"/>
    </row>
    <row r="97" spans="1:9" x14ac:dyDescent="0.25">
      <c r="A97" s="201" t="s">
        <v>270</v>
      </c>
      <c r="B97" s="287"/>
      <c r="C97" s="287"/>
      <c r="D97" s="285"/>
      <c r="E97" s="283"/>
      <c r="I97" s="206"/>
    </row>
    <row r="98" spans="1:9" x14ac:dyDescent="0.25">
      <c r="A98" s="202" t="s">
        <v>271</v>
      </c>
      <c r="B98" s="288">
        <v>0</v>
      </c>
      <c r="C98" s="285">
        <v>0</v>
      </c>
      <c r="D98" s="285"/>
      <c r="E98" s="283"/>
    </row>
    <row r="99" spans="1:9" x14ac:dyDescent="0.25">
      <c r="A99" s="202" t="s">
        <v>272</v>
      </c>
      <c r="B99" s="287"/>
      <c r="C99" s="285">
        <f>SUM(B100:B113)</f>
        <v>65877731</v>
      </c>
      <c r="D99" s="285"/>
      <c r="E99" s="283"/>
    </row>
    <row r="100" spans="1:9" x14ac:dyDescent="0.25">
      <c r="A100" s="281" t="s">
        <v>409</v>
      </c>
      <c r="B100" s="288">
        <v>61264325</v>
      </c>
      <c r="C100" s="285"/>
      <c r="D100" s="285"/>
      <c r="E100" s="283"/>
    </row>
    <row r="101" spans="1:9" x14ac:dyDescent="0.25">
      <c r="A101" s="281" t="s">
        <v>608</v>
      </c>
      <c r="B101" s="288">
        <v>3968685</v>
      </c>
      <c r="C101" s="285"/>
      <c r="D101" s="285"/>
      <c r="E101" s="283"/>
    </row>
    <row r="102" spans="1:9" x14ac:dyDescent="0.25">
      <c r="A102" s="202" t="s">
        <v>405</v>
      </c>
      <c r="B102" s="288">
        <v>50012</v>
      </c>
      <c r="C102" s="287"/>
      <c r="D102" s="285"/>
      <c r="E102" s="283"/>
    </row>
    <row r="103" spans="1:9" x14ac:dyDescent="0.25">
      <c r="A103" s="202" t="s">
        <v>406</v>
      </c>
      <c r="B103" s="288">
        <v>45989</v>
      </c>
      <c r="C103" s="287"/>
      <c r="D103" s="285"/>
      <c r="E103" s="283"/>
    </row>
    <row r="104" spans="1:9" x14ac:dyDescent="0.25">
      <c r="A104" s="202" t="s">
        <v>407</v>
      </c>
      <c r="B104" s="288">
        <v>55715</v>
      </c>
      <c r="C104" s="287"/>
      <c r="D104" s="285"/>
      <c r="E104" s="283"/>
    </row>
    <row r="105" spans="1:9" x14ac:dyDescent="0.25">
      <c r="A105" s="202" t="s">
        <v>408</v>
      </c>
      <c r="B105" s="288">
        <v>0</v>
      </c>
      <c r="C105" s="287"/>
      <c r="D105" s="285"/>
      <c r="E105" s="283"/>
    </row>
    <row r="106" spans="1:9" x14ac:dyDescent="0.25">
      <c r="A106" s="202" t="s">
        <v>609</v>
      </c>
      <c r="B106" s="288">
        <v>0</v>
      </c>
      <c r="C106" s="287"/>
      <c r="D106" s="285"/>
      <c r="E106" s="283"/>
    </row>
    <row r="107" spans="1:9" x14ac:dyDescent="0.25">
      <c r="A107" s="202" t="s">
        <v>410</v>
      </c>
      <c r="B107" s="288">
        <v>0</v>
      </c>
      <c r="C107" s="287"/>
      <c r="D107" s="285"/>
      <c r="E107" s="283"/>
    </row>
    <row r="108" spans="1:9" x14ac:dyDescent="0.25">
      <c r="A108" s="202" t="s">
        <v>411</v>
      </c>
      <c r="B108" s="288">
        <v>0</v>
      </c>
      <c r="C108" s="287"/>
      <c r="D108" s="285"/>
      <c r="E108" s="283"/>
    </row>
    <row r="109" spans="1:9" x14ac:dyDescent="0.25">
      <c r="A109" s="202" t="s">
        <v>611</v>
      </c>
      <c r="B109" s="288">
        <v>0</v>
      </c>
      <c r="C109" s="287"/>
      <c r="D109" s="285"/>
      <c r="E109" s="283"/>
    </row>
    <row r="110" spans="1:9" x14ac:dyDescent="0.25">
      <c r="A110" s="281" t="s">
        <v>610</v>
      </c>
      <c r="B110" s="288">
        <v>456000</v>
      </c>
      <c r="C110" s="287"/>
      <c r="D110" s="285"/>
      <c r="E110" s="283"/>
    </row>
    <row r="111" spans="1:9" x14ac:dyDescent="0.25">
      <c r="A111" s="202" t="s">
        <v>412</v>
      </c>
      <c r="B111" s="288">
        <v>0</v>
      </c>
      <c r="C111" s="288"/>
      <c r="D111" s="285"/>
      <c r="E111" s="283"/>
    </row>
    <row r="112" spans="1:9" x14ac:dyDescent="0.25">
      <c r="A112" s="202" t="s">
        <v>612</v>
      </c>
      <c r="B112" s="288">
        <v>0</v>
      </c>
      <c r="C112" s="288"/>
      <c r="D112" s="285"/>
      <c r="E112" s="283"/>
    </row>
    <row r="113" spans="1:8" x14ac:dyDescent="0.25">
      <c r="A113" s="202" t="s">
        <v>413</v>
      </c>
      <c r="B113" s="288">
        <v>37005</v>
      </c>
      <c r="C113" s="288"/>
      <c r="D113" s="285"/>
      <c r="E113" s="283"/>
    </row>
    <row r="114" spans="1:8" x14ac:dyDescent="0.25">
      <c r="A114" s="202" t="s">
        <v>273</v>
      </c>
      <c r="B114" s="288"/>
      <c r="C114" s="285">
        <f>SUM(B115:B118)</f>
        <v>0</v>
      </c>
      <c r="D114" s="285"/>
      <c r="E114" s="283"/>
    </row>
    <row r="115" spans="1:8" x14ac:dyDescent="0.25">
      <c r="A115" s="202" t="s">
        <v>274</v>
      </c>
      <c r="B115" s="288">
        <v>0</v>
      </c>
      <c r="C115" s="288"/>
      <c r="D115" s="285"/>
      <c r="E115" s="283"/>
    </row>
    <row r="116" spans="1:8" x14ac:dyDescent="0.25">
      <c r="A116" s="202" t="s">
        <v>275</v>
      </c>
      <c r="B116" s="288">
        <v>0</v>
      </c>
      <c r="C116" s="288"/>
      <c r="D116" s="285"/>
      <c r="E116" s="283"/>
      <c r="H116" s="206"/>
    </row>
    <row r="117" spans="1:8" x14ac:dyDescent="0.25">
      <c r="A117" s="202"/>
      <c r="B117" s="288"/>
      <c r="C117" s="287"/>
      <c r="D117" s="285"/>
      <c r="E117" s="283"/>
      <c r="H117" s="206"/>
    </row>
    <row r="118" spans="1:8" ht="19.5" customHeight="1" x14ac:dyDescent="0.25">
      <c r="A118" s="200" t="s">
        <v>276</v>
      </c>
      <c r="B118" s="288"/>
      <c r="C118" s="287"/>
      <c r="D118" s="285"/>
      <c r="E118" s="294">
        <f>C98+C99+C114</f>
        <v>65877731</v>
      </c>
      <c r="H118" s="206"/>
    </row>
    <row r="119" spans="1:8" ht="15.75" customHeight="1" x14ac:dyDescent="0.25">
      <c r="A119" s="201"/>
      <c r="B119" s="287"/>
      <c r="C119" s="287"/>
      <c r="D119" s="285"/>
      <c r="E119" s="290"/>
    </row>
    <row r="120" spans="1:8" x14ac:dyDescent="0.25">
      <c r="A120" s="200" t="s">
        <v>613</v>
      </c>
      <c r="B120" s="287"/>
      <c r="C120" s="285">
        <f>SUM(B121:B128)</f>
        <v>6496179</v>
      </c>
      <c r="D120" s="285"/>
      <c r="E120" s="283"/>
    </row>
    <row r="121" spans="1:8" x14ac:dyDescent="0.25">
      <c r="A121" s="202" t="s">
        <v>644</v>
      </c>
      <c r="B121" s="288">
        <f>827834-500246</f>
        <v>327588</v>
      </c>
      <c r="C121" s="287"/>
      <c r="D121" s="285"/>
      <c r="E121" s="285"/>
    </row>
    <row r="122" spans="1:8" x14ac:dyDescent="0.25">
      <c r="A122" s="202" t="s">
        <v>643</v>
      </c>
      <c r="B122" s="288">
        <f>349440-280640</f>
        <v>68800</v>
      </c>
      <c r="C122" s="287"/>
      <c r="D122" s="285"/>
      <c r="E122" s="285"/>
    </row>
    <row r="123" spans="1:8" x14ac:dyDescent="0.25">
      <c r="A123" s="202" t="s">
        <v>614</v>
      </c>
      <c r="B123" s="288">
        <f>2819013-1134827</f>
        <v>1684186</v>
      </c>
      <c r="C123" s="290"/>
      <c r="D123" s="285"/>
      <c r="E123" s="283"/>
    </row>
    <row r="124" spans="1:8" x14ac:dyDescent="0.25">
      <c r="A124" s="202" t="s">
        <v>615</v>
      </c>
      <c r="B124" s="288">
        <f>1588105-306407</f>
        <v>1281698</v>
      </c>
      <c r="C124" s="290"/>
      <c r="D124" s="285"/>
      <c r="E124" s="283"/>
    </row>
    <row r="125" spans="1:8" x14ac:dyDescent="0.25">
      <c r="A125" s="202" t="s">
        <v>645</v>
      </c>
      <c r="B125" s="288"/>
      <c r="C125" s="287"/>
      <c r="D125" s="285"/>
      <c r="E125" s="285"/>
    </row>
    <row r="126" spans="1:8" ht="15.75" customHeight="1" x14ac:dyDescent="0.25">
      <c r="A126" s="202" t="s">
        <v>616</v>
      </c>
      <c r="B126" s="288">
        <f>200264-264</f>
        <v>200000</v>
      </c>
      <c r="C126" s="287"/>
      <c r="D126" s="285"/>
      <c r="E126" s="283"/>
    </row>
    <row r="127" spans="1:8" ht="13.5" customHeight="1" x14ac:dyDescent="0.25">
      <c r="A127" s="202" t="s">
        <v>617</v>
      </c>
      <c r="B127" s="288">
        <f>3767559-3137114</f>
        <v>630445</v>
      </c>
      <c r="C127" s="287"/>
      <c r="D127" s="285"/>
      <c r="E127" s="283"/>
    </row>
    <row r="128" spans="1:8" x14ac:dyDescent="0.25">
      <c r="A128" s="202" t="s">
        <v>618</v>
      </c>
      <c r="B128" s="288">
        <f>10129140-7825678</f>
        <v>2303462</v>
      </c>
      <c r="C128" s="287"/>
      <c r="D128" s="285"/>
      <c r="E128" s="283"/>
    </row>
    <row r="129" spans="1:5" x14ac:dyDescent="0.25">
      <c r="A129" s="202"/>
      <c r="B129" s="287"/>
      <c r="C129" s="290"/>
      <c r="D129" s="283"/>
      <c r="E129" s="283"/>
    </row>
    <row r="130" spans="1:5" ht="18.75" customHeight="1" x14ac:dyDescent="0.25">
      <c r="A130" s="201" t="s">
        <v>619</v>
      </c>
      <c r="B130" s="287"/>
      <c r="C130" s="285">
        <f>SUM(B131:B133)</f>
        <v>302915</v>
      </c>
      <c r="D130" s="285"/>
      <c r="E130" s="283"/>
    </row>
    <row r="131" spans="1:5" x14ac:dyDescent="0.25">
      <c r="A131" s="202" t="s">
        <v>642</v>
      </c>
      <c r="B131" s="288">
        <v>70960</v>
      </c>
      <c r="C131" s="287"/>
      <c r="D131" s="285"/>
      <c r="E131" s="283"/>
    </row>
    <row r="132" spans="1:5" x14ac:dyDescent="0.25">
      <c r="A132" s="202" t="s">
        <v>640</v>
      </c>
      <c r="B132" s="288">
        <v>186094</v>
      </c>
      <c r="C132" s="290"/>
      <c r="D132" s="285"/>
      <c r="E132" s="283"/>
    </row>
    <row r="133" spans="1:5" x14ac:dyDescent="0.25">
      <c r="A133" s="202" t="s">
        <v>641</v>
      </c>
      <c r="B133" s="288">
        <v>45861</v>
      </c>
      <c r="C133" s="290"/>
      <c r="D133" s="285"/>
      <c r="E133" s="283"/>
    </row>
    <row r="134" spans="1:5" x14ac:dyDescent="0.25">
      <c r="A134" s="202"/>
      <c r="B134" s="287"/>
      <c r="C134" s="290"/>
      <c r="D134" s="285"/>
      <c r="E134" s="283"/>
    </row>
    <row r="135" spans="1:5" x14ac:dyDescent="0.25">
      <c r="A135" s="201" t="s">
        <v>620</v>
      </c>
      <c r="B135" s="287"/>
      <c r="C135" s="290"/>
      <c r="D135" s="285">
        <f>C120+C130</f>
        <v>6799094</v>
      </c>
      <c r="E135" s="283"/>
    </row>
    <row r="136" spans="1:5" x14ac:dyDescent="0.25">
      <c r="A136" s="202"/>
      <c r="B136" s="287"/>
      <c r="C136" s="290"/>
      <c r="D136" s="285"/>
      <c r="E136" s="283"/>
    </row>
    <row r="137" spans="1:5" x14ac:dyDescent="0.25">
      <c r="A137" s="282" t="s">
        <v>621</v>
      </c>
      <c r="B137" s="286"/>
      <c r="C137" s="286"/>
      <c r="D137" s="285">
        <v>0</v>
      </c>
      <c r="E137" s="283"/>
    </row>
    <row r="138" spans="1:5" x14ac:dyDescent="0.25">
      <c r="A138" s="282"/>
      <c r="B138" s="286"/>
      <c r="C138" s="286"/>
      <c r="D138" s="288"/>
      <c r="E138" s="283"/>
    </row>
    <row r="139" spans="1:5" x14ac:dyDescent="0.25">
      <c r="A139" s="283" t="s">
        <v>646</v>
      </c>
      <c r="B139" s="283">
        <v>15000</v>
      </c>
      <c r="C139" s="286"/>
      <c r="D139" s="288"/>
      <c r="E139" s="283"/>
    </row>
    <row r="140" spans="1:5" x14ac:dyDescent="0.25">
      <c r="A140" s="283" t="s">
        <v>647</v>
      </c>
      <c r="B140" s="283">
        <v>235602</v>
      </c>
      <c r="C140" s="286"/>
      <c r="D140" s="283"/>
      <c r="E140" s="283"/>
    </row>
    <row r="141" spans="1:5" x14ac:dyDescent="0.25">
      <c r="A141" s="283" t="s">
        <v>622</v>
      </c>
      <c r="B141" s="288">
        <v>25000</v>
      </c>
      <c r="C141" s="286"/>
      <c r="D141" s="283"/>
      <c r="E141" s="283"/>
    </row>
    <row r="142" spans="1:5" x14ac:dyDescent="0.25">
      <c r="A142" s="283" t="s">
        <v>623</v>
      </c>
      <c r="B142" s="288">
        <v>90707863</v>
      </c>
      <c r="C142" s="286"/>
      <c r="D142" s="283"/>
      <c r="E142" s="283"/>
    </row>
    <row r="143" spans="1:5" x14ac:dyDescent="0.25">
      <c r="A143" s="275"/>
      <c r="B143" s="286"/>
      <c r="C143" s="286"/>
      <c r="D143" s="283"/>
      <c r="E143" s="283"/>
    </row>
    <row r="144" spans="1:5" x14ac:dyDescent="0.25">
      <c r="A144" s="282" t="s">
        <v>624</v>
      </c>
      <c r="B144" s="286"/>
      <c r="C144" s="286"/>
      <c r="D144" s="285">
        <f>SUM(B139:B142)</f>
        <v>90983465</v>
      </c>
      <c r="E144" s="283"/>
    </row>
    <row r="145" spans="1:5" x14ac:dyDescent="0.25">
      <c r="A145" s="275"/>
      <c r="B145" s="286"/>
      <c r="C145" s="286"/>
      <c r="D145" s="283"/>
      <c r="E145" s="283"/>
    </row>
    <row r="146" spans="1:5" x14ac:dyDescent="0.25">
      <c r="A146" s="284" t="s">
        <v>648</v>
      </c>
      <c r="B146" s="286"/>
      <c r="C146" s="286"/>
      <c r="D146" s="283"/>
      <c r="E146" s="294">
        <f>D135+D144</f>
        <v>97782559</v>
      </c>
    </row>
    <row r="147" spans="1:5" x14ac:dyDescent="0.25">
      <c r="A147" s="283"/>
      <c r="B147" s="286"/>
      <c r="C147" s="286"/>
      <c r="D147" s="283"/>
      <c r="E147" s="283"/>
    </row>
    <row r="148" spans="1:5" x14ac:dyDescent="0.25">
      <c r="A148" s="283" t="s">
        <v>625</v>
      </c>
      <c r="B148" s="288">
        <v>2161222</v>
      </c>
      <c r="C148" s="286"/>
      <c r="D148" s="283"/>
      <c r="E148" s="283"/>
    </row>
    <row r="149" spans="1:5" x14ac:dyDescent="0.25">
      <c r="A149" s="283" t="s">
        <v>626</v>
      </c>
      <c r="B149" s="288">
        <v>-1760222</v>
      </c>
      <c r="C149" s="286"/>
      <c r="D149" s="283"/>
      <c r="E149" s="283"/>
    </row>
    <row r="150" spans="1:5" x14ac:dyDescent="0.25">
      <c r="A150" s="283"/>
      <c r="B150" s="286"/>
      <c r="C150" s="286"/>
      <c r="D150" s="283"/>
      <c r="E150" s="283"/>
    </row>
    <row r="151" spans="1:5" x14ac:dyDescent="0.25">
      <c r="A151" s="284" t="s">
        <v>649</v>
      </c>
      <c r="B151" s="286"/>
      <c r="C151" s="286"/>
      <c r="D151" s="283"/>
      <c r="E151" s="294">
        <f>SUM(B148:B149)</f>
        <v>401000</v>
      </c>
    </row>
    <row r="152" spans="1:5" ht="16.5" thickBot="1" x14ac:dyDescent="0.3">
      <c r="A152" s="301"/>
      <c r="B152" s="302"/>
      <c r="C152" s="302"/>
      <c r="D152" s="301"/>
      <c r="E152" s="301"/>
    </row>
    <row r="153" spans="1:5" ht="19.5" customHeight="1" thickTop="1" thickBot="1" x14ac:dyDescent="0.3">
      <c r="A153" s="305" t="s">
        <v>331</v>
      </c>
      <c r="B153" s="306"/>
      <c r="C153" s="306"/>
      <c r="D153" s="307"/>
      <c r="E153" s="308">
        <f>SUM(E91:E152)</f>
        <v>1209766664</v>
      </c>
    </row>
    <row r="154" spans="1:5" ht="16.5" thickTop="1" x14ac:dyDescent="0.25">
      <c r="A154" s="303"/>
      <c r="B154" s="304"/>
      <c r="C154" s="304"/>
      <c r="D154" s="303"/>
      <c r="E154" s="303"/>
    </row>
    <row r="155" spans="1:5" x14ac:dyDescent="0.25">
      <c r="A155" s="283" t="s">
        <v>627</v>
      </c>
      <c r="B155" s="288">
        <v>904856665</v>
      </c>
      <c r="C155" s="286"/>
      <c r="D155" s="283"/>
      <c r="E155" s="283"/>
    </row>
    <row r="156" spans="1:5" x14ac:dyDescent="0.25">
      <c r="A156" s="283" t="s">
        <v>628</v>
      </c>
      <c r="B156" s="288">
        <v>327559998</v>
      </c>
      <c r="C156" s="286"/>
      <c r="D156" s="283"/>
      <c r="E156" s="283"/>
    </row>
    <row r="157" spans="1:5" x14ac:dyDescent="0.25">
      <c r="A157" s="283" t="s">
        <v>629</v>
      </c>
      <c r="B157" s="288">
        <v>9947786</v>
      </c>
      <c r="C157" s="286"/>
      <c r="D157" s="283"/>
      <c r="E157" s="283"/>
    </row>
    <row r="158" spans="1:5" x14ac:dyDescent="0.25">
      <c r="A158" s="283" t="s">
        <v>630</v>
      </c>
      <c r="B158" s="288">
        <v>-225704656</v>
      </c>
      <c r="C158" s="286"/>
      <c r="D158" s="283"/>
      <c r="E158" s="283"/>
    </row>
    <row r="159" spans="1:5" x14ac:dyDescent="0.25">
      <c r="A159" s="283" t="s">
        <v>631</v>
      </c>
      <c r="B159" s="288">
        <v>153264517</v>
      </c>
      <c r="C159" s="286"/>
      <c r="D159" s="283"/>
      <c r="E159" s="283"/>
    </row>
    <row r="160" spans="1:5" x14ac:dyDescent="0.25">
      <c r="A160" s="283"/>
      <c r="B160" s="286"/>
      <c r="C160" s="286"/>
      <c r="D160" s="283"/>
      <c r="E160" s="283"/>
    </row>
    <row r="161" spans="1:5" x14ac:dyDescent="0.25">
      <c r="A161" s="284" t="s">
        <v>632</v>
      </c>
      <c r="B161" s="286"/>
      <c r="C161" s="286"/>
      <c r="D161" s="285">
        <f>SUM(B155:B159)</f>
        <v>1169924310</v>
      </c>
      <c r="E161" s="309"/>
    </row>
    <row r="162" spans="1:5" x14ac:dyDescent="0.25">
      <c r="A162" s="283"/>
      <c r="B162" s="286"/>
      <c r="C162" s="286"/>
      <c r="D162" s="286"/>
      <c r="E162" s="286"/>
    </row>
    <row r="163" spans="1:5" ht="32.25" customHeight="1" x14ac:dyDescent="0.25">
      <c r="A163" s="310" t="s">
        <v>650</v>
      </c>
      <c r="B163" s="288">
        <v>1467523</v>
      </c>
      <c r="C163" s="286"/>
      <c r="D163" s="286"/>
      <c r="E163" s="286"/>
    </row>
    <row r="164" spans="1:5" x14ac:dyDescent="0.25">
      <c r="A164" s="283"/>
      <c r="B164" s="286"/>
      <c r="C164" s="286"/>
      <c r="D164" s="286"/>
      <c r="E164" s="286"/>
    </row>
    <row r="165" spans="1:5" ht="31.5" x14ac:dyDescent="0.25">
      <c r="A165" s="311" t="s">
        <v>633</v>
      </c>
      <c r="B165" s="286"/>
      <c r="C165" s="285">
        <f>SUM(B163)</f>
        <v>1467523</v>
      </c>
      <c r="D165" s="286"/>
      <c r="E165" s="286"/>
    </row>
    <row r="166" spans="1:5" x14ac:dyDescent="0.25">
      <c r="A166" s="283"/>
      <c r="B166" s="286"/>
      <c r="C166" s="286"/>
      <c r="D166" s="286"/>
      <c r="E166" s="286"/>
    </row>
    <row r="167" spans="1:5" x14ac:dyDescent="0.25">
      <c r="A167" s="283" t="s">
        <v>634</v>
      </c>
      <c r="B167" s="288">
        <v>2685038</v>
      </c>
      <c r="C167" s="286"/>
      <c r="D167" s="286"/>
      <c r="E167" s="286"/>
    </row>
    <row r="168" spans="1:5" x14ac:dyDescent="0.25">
      <c r="A168" s="283"/>
      <c r="B168" s="286"/>
      <c r="C168" s="286"/>
      <c r="D168" s="286"/>
      <c r="E168" s="286"/>
    </row>
    <row r="169" spans="1:5" x14ac:dyDescent="0.25">
      <c r="A169" s="283" t="s">
        <v>635</v>
      </c>
      <c r="B169" s="286"/>
      <c r="C169" s="285">
        <f>SUM(B167)</f>
        <v>2685038</v>
      </c>
      <c r="D169" s="286"/>
      <c r="E169" s="286"/>
    </row>
    <row r="170" spans="1:5" x14ac:dyDescent="0.25">
      <c r="A170" s="283"/>
      <c r="B170" s="286"/>
      <c r="C170" s="286"/>
      <c r="D170" s="286"/>
      <c r="E170" s="286"/>
    </row>
    <row r="171" spans="1:5" x14ac:dyDescent="0.25">
      <c r="A171" s="284" t="s">
        <v>636</v>
      </c>
      <c r="B171" s="286"/>
      <c r="C171" s="286"/>
      <c r="D171" s="285">
        <f>SUM(C165:C169)</f>
        <v>4152561</v>
      </c>
      <c r="E171" s="309"/>
    </row>
    <row r="172" spans="1:5" x14ac:dyDescent="0.25">
      <c r="A172" s="283"/>
      <c r="B172" s="286"/>
      <c r="C172" s="286"/>
      <c r="D172" s="286"/>
      <c r="E172" s="286"/>
    </row>
    <row r="173" spans="1:5" x14ac:dyDescent="0.25">
      <c r="A173" s="283" t="s">
        <v>637</v>
      </c>
      <c r="B173" s="288">
        <v>2372759</v>
      </c>
      <c r="C173" s="286"/>
      <c r="D173" s="286"/>
      <c r="E173" s="286"/>
    </row>
    <row r="174" spans="1:5" x14ac:dyDescent="0.25">
      <c r="A174" s="283" t="s">
        <v>638</v>
      </c>
      <c r="B174" s="288">
        <v>33317034</v>
      </c>
      <c r="C174" s="286"/>
      <c r="D174" s="286"/>
      <c r="E174" s="286"/>
    </row>
    <row r="175" spans="1:5" x14ac:dyDescent="0.25">
      <c r="A175" s="283"/>
      <c r="B175" s="286"/>
      <c r="C175" s="286"/>
      <c r="D175" s="286"/>
      <c r="E175" s="286"/>
    </row>
    <row r="176" spans="1:5" x14ac:dyDescent="0.25">
      <c r="A176" s="284" t="s">
        <v>639</v>
      </c>
      <c r="B176" s="286"/>
      <c r="C176" s="286"/>
      <c r="D176" s="285">
        <f>SUM(B173:B174)</f>
        <v>35689793</v>
      </c>
      <c r="E176" s="309"/>
    </row>
    <row r="177" spans="1:5" ht="16.5" thickBot="1" x14ac:dyDescent="0.3">
      <c r="A177" s="301"/>
      <c r="B177" s="302"/>
      <c r="C177" s="302"/>
      <c r="D177" s="302"/>
      <c r="E177" s="302"/>
    </row>
    <row r="178" spans="1:5" ht="17.25" thickTop="1" thickBot="1" x14ac:dyDescent="0.3">
      <c r="A178" s="305" t="s">
        <v>344</v>
      </c>
      <c r="B178" s="306"/>
      <c r="C178" s="306"/>
      <c r="D178" s="306"/>
      <c r="E178" s="308">
        <f>SUM(D161:D176)</f>
        <v>1209766664</v>
      </c>
    </row>
    <row r="179" spans="1:5" ht="16.5" thickTop="1" x14ac:dyDescent="0.25"/>
  </sheetData>
  <mergeCells count="1">
    <mergeCell ref="A1:E1"/>
  </mergeCells>
  <pageMargins left="0.7" right="0.7" top="0.75" bottom="0.75" header="0.3" footer="0.3"/>
  <pageSetup paperSize="9" scale="82" orientation="portrait" r:id="rId1"/>
  <headerFooter>
    <oddHeader>&amp;R9. melléklet</oddHeader>
  </headerFooter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61"/>
  <sheetViews>
    <sheetView workbookViewId="0">
      <selection activeCell="P15" sqref="P15"/>
    </sheetView>
  </sheetViews>
  <sheetFormatPr defaultRowHeight="12.75" x14ac:dyDescent="0.2"/>
  <cols>
    <col min="1" max="1" width="3.7109375" customWidth="1"/>
    <col min="2" max="2" width="3.140625" customWidth="1"/>
    <col min="3" max="3" width="54.5703125" bestFit="1" customWidth="1"/>
    <col min="4" max="4" width="8.7109375" customWidth="1"/>
    <col min="5" max="14" width="12.7109375" customWidth="1"/>
    <col min="15" max="16" width="10.7109375" customWidth="1"/>
    <col min="17" max="17" width="16.85546875" customWidth="1"/>
  </cols>
  <sheetData>
    <row r="1" spans="1:19" ht="21.75" customHeight="1" x14ac:dyDescent="0.2">
      <c r="A1" s="458" t="s">
        <v>728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</row>
    <row r="2" spans="1:19" ht="21.75" customHeight="1" x14ac:dyDescent="0.2">
      <c r="A2" s="457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1" t="s">
        <v>736</v>
      </c>
    </row>
    <row r="3" spans="1:19" ht="28.5" customHeight="1" x14ac:dyDescent="0.2">
      <c r="A3" s="464" t="s">
        <v>53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</row>
    <row r="4" spans="1:19" ht="36.75" customHeight="1" x14ac:dyDescent="0.2">
      <c r="A4" s="468" t="s">
        <v>25</v>
      </c>
      <c r="B4" s="469"/>
      <c r="C4" s="470"/>
      <c r="D4" s="479" t="s">
        <v>478</v>
      </c>
      <c r="E4" s="474" t="s">
        <v>727</v>
      </c>
      <c r="F4" s="475"/>
      <c r="G4" s="475"/>
      <c r="H4" s="475"/>
      <c r="I4" s="476"/>
      <c r="J4" s="474" t="s">
        <v>729</v>
      </c>
      <c r="K4" s="475"/>
      <c r="L4" s="475"/>
      <c r="M4" s="475"/>
      <c r="N4" s="476"/>
      <c r="O4" s="474" t="s">
        <v>731</v>
      </c>
      <c r="P4" s="476"/>
      <c r="Q4" s="477" t="s">
        <v>150</v>
      </c>
    </row>
    <row r="5" spans="1:19" ht="36.75" customHeight="1" x14ac:dyDescent="0.2">
      <c r="A5" s="471"/>
      <c r="B5" s="472"/>
      <c r="C5" s="473"/>
      <c r="D5" s="480"/>
      <c r="E5" s="110" t="s">
        <v>160</v>
      </c>
      <c r="F5" s="110" t="s">
        <v>486</v>
      </c>
      <c r="G5" s="110" t="s">
        <v>487</v>
      </c>
      <c r="H5" s="110" t="s">
        <v>488</v>
      </c>
      <c r="I5" s="110" t="s">
        <v>730</v>
      </c>
      <c r="J5" s="110" t="s">
        <v>160</v>
      </c>
      <c r="K5" s="110" t="s">
        <v>486</v>
      </c>
      <c r="L5" s="110" t="s">
        <v>487</v>
      </c>
      <c r="M5" s="110" t="s">
        <v>488</v>
      </c>
      <c r="N5" s="110" t="s">
        <v>730</v>
      </c>
      <c r="O5" s="110" t="s">
        <v>732</v>
      </c>
      <c r="P5" s="110" t="s">
        <v>733</v>
      </c>
      <c r="Q5" s="478"/>
    </row>
    <row r="6" spans="1:19" ht="17.25" customHeight="1" x14ac:dyDescent="0.2">
      <c r="A6" s="462" t="s">
        <v>26</v>
      </c>
      <c r="B6" s="111"/>
      <c r="C6" s="112" t="s">
        <v>161</v>
      </c>
      <c r="D6" s="112" t="s">
        <v>479</v>
      </c>
      <c r="E6" s="113">
        <v>12583447</v>
      </c>
      <c r="F6" s="113">
        <v>0</v>
      </c>
      <c r="G6" s="113">
        <v>0</v>
      </c>
      <c r="H6" s="113">
        <f>I6-E6-F6-G6</f>
        <v>1603160</v>
      </c>
      <c r="I6" s="113">
        <v>14186607</v>
      </c>
      <c r="J6" s="113">
        <v>0</v>
      </c>
      <c r="K6" s="113">
        <v>0</v>
      </c>
      <c r="L6" s="113">
        <v>0</v>
      </c>
      <c r="M6" s="113">
        <v>0</v>
      </c>
      <c r="N6" s="113">
        <f>SUM(J6:M6)</f>
        <v>0</v>
      </c>
      <c r="O6" s="113">
        <v>0</v>
      </c>
      <c r="P6" s="113">
        <v>0</v>
      </c>
      <c r="Q6" s="113">
        <f>I6+N6+P6</f>
        <v>14186607</v>
      </c>
      <c r="S6" s="229"/>
    </row>
    <row r="7" spans="1:19" ht="25.5" x14ac:dyDescent="0.2">
      <c r="A7" s="462"/>
      <c r="B7" s="111"/>
      <c r="C7" s="112" t="s">
        <v>162</v>
      </c>
      <c r="D7" s="112" t="s">
        <v>480</v>
      </c>
      <c r="E7" s="113">
        <v>0</v>
      </c>
      <c r="F7" s="113">
        <v>0</v>
      </c>
      <c r="G7" s="113">
        <v>0</v>
      </c>
      <c r="H7" s="113">
        <f t="shared" ref="H7:H11" si="0">I7-E7-F7-G7</f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3">
        <f t="shared" ref="N7:N11" si="1">SUM(J7:M7)</f>
        <v>0</v>
      </c>
      <c r="O7" s="113">
        <v>0</v>
      </c>
      <c r="P7" s="113">
        <v>0</v>
      </c>
      <c r="Q7" s="113">
        <f t="shared" ref="Q7:Q11" si="2">I7+N7+P7</f>
        <v>0</v>
      </c>
      <c r="S7" s="229"/>
    </row>
    <row r="8" spans="1:19" ht="25.5" x14ac:dyDescent="0.2">
      <c r="A8" s="462"/>
      <c r="B8" s="111"/>
      <c r="C8" s="112" t="s">
        <v>163</v>
      </c>
      <c r="D8" s="112" t="s">
        <v>481</v>
      </c>
      <c r="E8" s="113">
        <v>14437887</v>
      </c>
      <c r="F8" s="113">
        <v>0</v>
      </c>
      <c r="G8" s="113">
        <v>0</v>
      </c>
      <c r="H8" s="113">
        <f t="shared" si="0"/>
        <v>1049936</v>
      </c>
      <c r="I8" s="113">
        <v>15487823</v>
      </c>
      <c r="J8" s="113">
        <v>0</v>
      </c>
      <c r="K8" s="113">
        <v>0</v>
      </c>
      <c r="L8" s="113">
        <v>0</v>
      </c>
      <c r="M8" s="113">
        <v>0</v>
      </c>
      <c r="N8" s="113">
        <f t="shared" si="1"/>
        <v>0</v>
      </c>
      <c r="O8" s="113">
        <v>0</v>
      </c>
      <c r="P8" s="113">
        <v>0</v>
      </c>
      <c r="Q8" s="113">
        <f t="shared" si="2"/>
        <v>15487823</v>
      </c>
      <c r="S8" s="229"/>
    </row>
    <row r="9" spans="1:19" ht="14.25" customHeight="1" x14ac:dyDescent="0.2">
      <c r="A9" s="462"/>
      <c r="B9" s="111"/>
      <c r="C9" s="112" t="s">
        <v>164</v>
      </c>
      <c r="D9" s="112" t="s">
        <v>482</v>
      </c>
      <c r="E9" s="113">
        <v>2319570</v>
      </c>
      <c r="F9" s="113">
        <v>0</v>
      </c>
      <c r="G9" s="113">
        <v>0</v>
      </c>
      <c r="H9" s="113">
        <f t="shared" si="0"/>
        <v>79000</v>
      </c>
      <c r="I9" s="113">
        <v>2398570</v>
      </c>
      <c r="J9" s="113">
        <v>0</v>
      </c>
      <c r="K9" s="113">
        <v>0</v>
      </c>
      <c r="L9" s="113">
        <v>0</v>
      </c>
      <c r="M9" s="113">
        <v>0</v>
      </c>
      <c r="N9" s="113">
        <f t="shared" si="1"/>
        <v>0</v>
      </c>
      <c r="O9" s="113">
        <v>0</v>
      </c>
      <c r="P9" s="113">
        <v>0</v>
      </c>
      <c r="Q9" s="113">
        <f t="shared" si="2"/>
        <v>2398570</v>
      </c>
      <c r="S9" s="229"/>
    </row>
    <row r="10" spans="1:19" ht="26.25" customHeight="1" x14ac:dyDescent="0.2">
      <c r="A10" s="462"/>
      <c r="B10" s="111"/>
      <c r="C10" s="148" t="s">
        <v>221</v>
      </c>
      <c r="D10" s="112" t="s">
        <v>483</v>
      </c>
      <c r="E10" s="113">
        <v>0</v>
      </c>
      <c r="F10" s="113">
        <v>0</v>
      </c>
      <c r="G10" s="113">
        <v>1122680</v>
      </c>
      <c r="H10" s="113">
        <f t="shared" si="0"/>
        <v>0</v>
      </c>
      <c r="I10" s="113">
        <v>1122680</v>
      </c>
      <c r="J10" s="113">
        <v>0</v>
      </c>
      <c r="K10" s="113">
        <v>0</v>
      </c>
      <c r="L10" s="113">
        <v>0</v>
      </c>
      <c r="M10" s="113">
        <v>0</v>
      </c>
      <c r="N10" s="113">
        <f t="shared" si="1"/>
        <v>0</v>
      </c>
      <c r="O10" s="113">
        <v>0</v>
      </c>
      <c r="P10" s="113">
        <v>0</v>
      </c>
      <c r="Q10" s="113">
        <f t="shared" si="2"/>
        <v>1122680</v>
      </c>
      <c r="S10" s="229"/>
    </row>
    <row r="11" spans="1:19" ht="26.25" customHeight="1" x14ac:dyDescent="0.2">
      <c r="A11" s="462"/>
      <c r="B11" s="111"/>
      <c r="C11" s="112" t="s">
        <v>414</v>
      </c>
      <c r="D11" s="112" t="s">
        <v>484</v>
      </c>
      <c r="E11" s="113">
        <v>0</v>
      </c>
      <c r="F11" s="113">
        <v>125183</v>
      </c>
      <c r="G11" s="113">
        <v>210183</v>
      </c>
      <c r="H11" s="113">
        <f t="shared" si="0"/>
        <v>-125183</v>
      </c>
      <c r="I11" s="113">
        <v>210183</v>
      </c>
      <c r="J11" s="113">
        <v>0</v>
      </c>
      <c r="K11" s="113">
        <v>0</v>
      </c>
      <c r="L11" s="113">
        <v>0</v>
      </c>
      <c r="M11" s="113">
        <v>0</v>
      </c>
      <c r="N11" s="113">
        <f t="shared" si="1"/>
        <v>0</v>
      </c>
      <c r="O11" s="113">
        <v>0</v>
      </c>
      <c r="P11" s="113">
        <v>0</v>
      </c>
      <c r="Q11" s="113">
        <f t="shared" si="2"/>
        <v>210183</v>
      </c>
      <c r="S11" s="229"/>
    </row>
    <row r="12" spans="1:19" ht="18" customHeight="1" x14ac:dyDescent="0.2">
      <c r="A12" s="462"/>
      <c r="B12" s="463" t="s">
        <v>165</v>
      </c>
      <c r="C12" s="463"/>
      <c r="D12" s="249" t="s">
        <v>485</v>
      </c>
      <c r="E12" s="114">
        <f>SUM(E6:E11)</f>
        <v>29340904</v>
      </c>
      <c r="F12" s="114">
        <f>SUM(F6:F11)</f>
        <v>125183</v>
      </c>
      <c r="G12" s="114">
        <f>SUM(G6:G11)</f>
        <v>1332863</v>
      </c>
      <c r="H12" s="114">
        <f>I12-E12-F12-G12</f>
        <v>2606913</v>
      </c>
      <c r="I12" s="114">
        <f>SUM(I6:I11)</f>
        <v>33405863</v>
      </c>
      <c r="J12" s="114">
        <f t="shared" ref="J12:Q12" si="3">SUM(J6:J11)</f>
        <v>0</v>
      </c>
      <c r="K12" s="114">
        <f t="shared" si="3"/>
        <v>0</v>
      </c>
      <c r="L12" s="114">
        <f t="shared" si="3"/>
        <v>0</v>
      </c>
      <c r="M12" s="114">
        <f t="shared" si="3"/>
        <v>0</v>
      </c>
      <c r="N12" s="114">
        <f>SUM(N6:N11)</f>
        <v>0</v>
      </c>
      <c r="O12" s="114">
        <f t="shared" si="3"/>
        <v>0</v>
      </c>
      <c r="P12" s="114">
        <f t="shared" si="3"/>
        <v>0</v>
      </c>
      <c r="Q12" s="114">
        <f t="shared" si="3"/>
        <v>33405863</v>
      </c>
      <c r="S12" s="229"/>
    </row>
    <row r="13" spans="1:19" x14ac:dyDescent="0.2">
      <c r="A13" s="462"/>
      <c r="B13" s="115"/>
      <c r="C13" s="116" t="s">
        <v>222</v>
      </c>
      <c r="D13" s="162" t="s">
        <v>489</v>
      </c>
      <c r="E13" s="113">
        <v>0</v>
      </c>
      <c r="F13" s="113">
        <v>0</v>
      </c>
      <c r="G13" s="113">
        <v>0</v>
      </c>
      <c r="H13" s="241">
        <f>I13-E13-F13-G13</f>
        <v>0</v>
      </c>
      <c r="I13" s="113">
        <v>0</v>
      </c>
      <c r="J13" s="113">
        <v>0</v>
      </c>
      <c r="K13" s="113">
        <v>0</v>
      </c>
      <c r="L13" s="113">
        <v>0</v>
      </c>
      <c r="M13" s="113">
        <v>0</v>
      </c>
      <c r="N13" s="113">
        <f>SUM(J13:M13)</f>
        <v>0</v>
      </c>
      <c r="O13" s="113">
        <v>0</v>
      </c>
      <c r="P13" s="113">
        <v>0</v>
      </c>
      <c r="Q13" s="113">
        <f>I13+N13+P13</f>
        <v>0</v>
      </c>
      <c r="S13" s="229"/>
    </row>
    <row r="14" spans="1:19" x14ac:dyDescent="0.2">
      <c r="A14" s="462"/>
      <c r="B14" s="115"/>
      <c r="C14" s="162" t="s">
        <v>223</v>
      </c>
      <c r="D14" s="162" t="s">
        <v>489</v>
      </c>
      <c r="E14" s="113">
        <v>0</v>
      </c>
      <c r="F14" s="113">
        <v>0</v>
      </c>
      <c r="G14" s="113">
        <v>0</v>
      </c>
      <c r="H14" s="241">
        <f t="shared" ref="H14:H18" si="4">I14-E14-F14-G14</f>
        <v>0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  <c r="N14" s="113">
        <f t="shared" ref="N14:N18" si="5">SUM(J14:M14)</f>
        <v>0</v>
      </c>
      <c r="O14" s="113">
        <v>0</v>
      </c>
      <c r="P14" s="113">
        <v>0</v>
      </c>
      <c r="Q14" s="113">
        <f t="shared" ref="Q14:Q18" si="6">I14+N14+P14</f>
        <v>0</v>
      </c>
      <c r="S14" s="229"/>
    </row>
    <row r="15" spans="1:19" x14ac:dyDescent="0.2">
      <c r="A15" s="462"/>
      <c r="B15" s="115"/>
      <c r="C15" s="162" t="s">
        <v>415</v>
      </c>
      <c r="D15" s="162" t="s">
        <v>489</v>
      </c>
      <c r="E15" s="113">
        <v>0</v>
      </c>
      <c r="F15" s="113">
        <v>0</v>
      </c>
      <c r="G15" s="113">
        <v>0</v>
      </c>
      <c r="H15" s="241">
        <f t="shared" si="4"/>
        <v>0</v>
      </c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f t="shared" si="5"/>
        <v>0</v>
      </c>
      <c r="O15" s="113">
        <v>0</v>
      </c>
      <c r="P15" s="113">
        <v>0</v>
      </c>
      <c r="Q15" s="113">
        <f t="shared" si="6"/>
        <v>0</v>
      </c>
      <c r="S15" s="229"/>
    </row>
    <row r="16" spans="1:19" x14ac:dyDescent="0.2">
      <c r="A16" s="462"/>
      <c r="B16" s="115"/>
      <c r="C16" s="116" t="s">
        <v>166</v>
      </c>
      <c r="D16" s="162" t="s">
        <v>489</v>
      </c>
      <c r="E16" s="241">
        <v>104700</v>
      </c>
      <c r="F16" s="113">
        <v>0</v>
      </c>
      <c r="G16" s="113">
        <v>0</v>
      </c>
      <c r="H16" s="241">
        <f t="shared" si="4"/>
        <v>0</v>
      </c>
      <c r="I16" s="113">
        <v>104700</v>
      </c>
      <c r="J16" s="113">
        <v>0</v>
      </c>
      <c r="K16" s="113">
        <v>0</v>
      </c>
      <c r="L16" s="113">
        <v>0</v>
      </c>
      <c r="M16" s="113">
        <v>0</v>
      </c>
      <c r="N16" s="113">
        <f t="shared" si="5"/>
        <v>0</v>
      </c>
      <c r="O16" s="113">
        <v>0</v>
      </c>
      <c r="P16" s="113">
        <v>0</v>
      </c>
      <c r="Q16" s="113">
        <f t="shared" si="6"/>
        <v>104700</v>
      </c>
      <c r="S16" s="229"/>
    </row>
    <row r="17" spans="1:19" x14ac:dyDescent="0.2">
      <c r="A17" s="462"/>
      <c r="B17" s="115"/>
      <c r="C17" s="116" t="s">
        <v>167</v>
      </c>
      <c r="D17" s="162" t="s">
        <v>489</v>
      </c>
      <c r="E17" s="241">
        <v>3646269</v>
      </c>
      <c r="F17" s="113">
        <v>0</v>
      </c>
      <c r="G17" s="113">
        <v>0</v>
      </c>
      <c r="H17" s="241">
        <f t="shared" si="4"/>
        <v>2240592</v>
      </c>
      <c r="I17" s="113">
        <v>5886861</v>
      </c>
      <c r="J17" s="113">
        <v>0</v>
      </c>
      <c r="K17" s="113">
        <v>0</v>
      </c>
      <c r="L17" s="113">
        <v>0</v>
      </c>
      <c r="M17" s="113">
        <v>0</v>
      </c>
      <c r="N17" s="113">
        <f t="shared" si="5"/>
        <v>0</v>
      </c>
      <c r="O17" s="113">
        <v>0</v>
      </c>
      <c r="P17" s="113">
        <v>0</v>
      </c>
      <c r="Q17" s="113">
        <f t="shared" si="6"/>
        <v>5886861</v>
      </c>
      <c r="S17" s="229"/>
    </row>
    <row r="18" spans="1:19" x14ac:dyDescent="0.2">
      <c r="A18" s="462"/>
      <c r="B18" s="115"/>
      <c r="C18" s="116" t="s">
        <v>168</v>
      </c>
      <c r="D18" s="162" t="s">
        <v>489</v>
      </c>
      <c r="E18" s="113">
        <v>0</v>
      </c>
      <c r="F18" s="113">
        <v>0</v>
      </c>
      <c r="G18" s="113">
        <v>0</v>
      </c>
      <c r="H18" s="241">
        <f t="shared" si="4"/>
        <v>0</v>
      </c>
      <c r="I18" s="176"/>
      <c r="J18" s="113">
        <v>0</v>
      </c>
      <c r="K18" s="113">
        <v>0</v>
      </c>
      <c r="L18" s="113">
        <v>0</v>
      </c>
      <c r="M18" s="113">
        <v>0</v>
      </c>
      <c r="N18" s="113">
        <f t="shared" si="5"/>
        <v>0</v>
      </c>
      <c r="O18" s="113">
        <v>0</v>
      </c>
      <c r="P18" s="113">
        <v>0</v>
      </c>
      <c r="Q18" s="113">
        <f t="shared" si="6"/>
        <v>0</v>
      </c>
      <c r="S18" s="229"/>
    </row>
    <row r="19" spans="1:19" s="117" customFormat="1" ht="18.75" customHeight="1" x14ac:dyDescent="0.2">
      <c r="A19" s="462"/>
      <c r="B19" s="463" t="s">
        <v>169</v>
      </c>
      <c r="C19" s="463"/>
      <c r="D19" s="249" t="s">
        <v>489</v>
      </c>
      <c r="E19" s="114">
        <f>SUM(E14:E18)</f>
        <v>3750969</v>
      </c>
      <c r="F19" s="114">
        <f>SUM(F13:F18)</f>
        <v>0</v>
      </c>
      <c r="G19" s="114">
        <f>SUM(G13:G18)</f>
        <v>0</v>
      </c>
      <c r="H19" s="114">
        <f>I19-E19-F19-G19</f>
        <v>2240592</v>
      </c>
      <c r="I19" s="114">
        <f>SUM(I13:I18)</f>
        <v>5991561</v>
      </c>
      <c r="J19" s="114">
        <f t="shared" ref="J19:Q19" si="7">SUM(J13:J18)</f>
        <v>0</v>
      </c>
      <c r="K19" s="114">
        <f t="shared" si="7"/>
        <v>0</v>
      </c>
      <c r="L19" s="114">
        <f t="shared" si="7"/>
        <v>0</v>
      </c>
      <c r="M19" s="114">
        <f t="shared" si="7"/>
        <v>0</v>
      </c>
      <c r="N19" s="114">
        <f t="shared" si="7"/>
        <v>0</v>
      </c>
      <c r="O19" s="114">
        <f t="shared" si="7"/>
        <v>0</v>
      </c>
      <c r="P19" s="114">
        <f t="shared" si="7"/>
        <v>0</v>
      </c>
      <c r="Q19" s="114">
        <f t="shared" si="7"/>
        <v>5991561</v>
      </c>
      <c r="S19" s="230"/>
    </row>
    <row r="20" spans="1:19" s="119" customFormat="1" ht="22.5" customHeight="1" x14ac:dyDescent="0.2">
      <c r="A20" s="462"/>
      <c r="B20" s="460" t="s">
        <v>170</v>
      </c>
      <c r="C20" s="460"/>
      <c r="D20" s="246" t="s">
        <v>490</v>
      </c>
      <c r="E20" s="118">
        <f t="shared" ref="E20:Q20" si="8">E12+E19</f>
        <v>33091873</v>
      </c>
      <c r="F20" s="118">
        <f t="shared" si="8"/>
        <v>125183</v>
      </c>
      <c r="G20" s="118">
        <f t="shared" si="8"/>
        <v>1332863</v>
      </c>
      <c r="H20" s="118">
        <f>I20-E20-F20-G20</f>
        <v>4847505</v>
      </c>
      <c r="I20" s="118">
        <f t="shared" si="8"/>
        <v>39397424</v>
      </c>
      <c r="J20" s="118">
        <f t="shared" si="8"/>
        <v>0</v>
      </c>
      <c r="K20" s="118">
        <f t="shared" si="8"/>
        <v>0</v>
      </c>
      <c r="L20" s="118">
        <f t="shared" si="8"/>
        <v>0</v>
      </c>
      <c r="M20" s="118">
        <f t="shared" si="8"/>
        <v>0</v>
      </c>
      <c r="N20" s="118">
        <f t="shared" si="8"/>
        <v>0</v>
      </c>
      <c r="O20" s="118">
        <f t="shared" si="8"/>
        <v>0</v>
      </c>
      <c r="P20" s="118">
        <f t="shared" si="8"/>
        <v>0</v>
      </c>
      <c r="Q20" s="118">
        <f t="shared" si="8"/>
        <v>39397424</v>
      </c>
      <c r="S20" s="231"/>
    </row>
    <row r="21" spans="1:19" x14ac:dyDescent="0.2">
      <c r="A21" s="248"/>
      <c r="B21" s="115"/>
      <c r="C21" s="162" t="s">
        <v>458</v>
      </c>
      <c r="D21" s="162" t="s">
        <v>491</v>
      </c>
      <c r="E21" s="113">
        <v>0</v>
      </c>
      <c r="F21" s="113">
        <v>0</v>
      </c>
      <c r="G21" s="113">
        <v>0</v>
      </c>
      <c r="H21" s="113">
        <f>I21-E21-F21-G21</f>
        <v>34566334</v>
      </c>
      <c r="I21" s="113">
        <v>34566334</v>
      </c>
      <c r="J21" s="113">
        <v>0</v>
      </c>
      <c r="K21" s="113">
        <v>0</v>
      </c>
      <c r="L21" s="113">
        <v>0</v>
      </c>
      <c r="M21" s="113">
        <v>0</v>
      </c>
      <c r="N21" s="113">
        <f>SUM(J21:M21)</f>
        <v>0</v>
      </c>
      <c r="O21" s="113">
        <v>0</v>
      </c>
      <c r="P21" s="113">
        <v>0</v>
      </c>
      <c r="Q21" s="113">
        <f>I21+N21+P21</f>
        <v>34566334</v>
      </c>
      <c r="S21" s="229"/>
    </row>
    <row r="22" spans="1:19" s="119" customFormat="1" ht="22.5" customHeight="1" x14ac:dyDescent="0.2">
      <c r="A22" s="248" t="s">
        <v>226</v>
      </c>
      <c r="B22" s="460" t="s">
        <v>224</v>
      </c>
      <c r="C22" s="460"/>
      <c r="D22" s="246" t="s">
        <v>492</v>
      </c>
      <c r="E22" s="118">
        <f>E21</f>
        <v>0</v>
      </c>
      <c r="F22" s="118">
        <v>0</v>
      </c>
      <c r="G22" s="118">
        <v>0</v>
      </c>
      <c r="H22" s="118">
        <f>I22-E22-F22-G22</f>
        <v>34566334</v>
      </c>
      <c r="I22" s="118">
        <f>I21</f>
        <v>34566334</v>
      </c>
      <c r="J22" s="118">
        <f t="shared" ref="J22:Q22" si="9">J21</f>
        <v>0</v>
      </c>
      <c r="K22" s="118">
        <f t="shared" si="9"/>
        <v>0</v>
      </c>
      <c r="L22" s="118">
        <f t="shared" si="9"/>
        <v>0</v>
      </c>
      <c r="M22" s="118">
        <f t="shared" si="9"/>
        <v>0</v>
      </c>
      <c r="N22" s="118">
        <f t="shared" si="9"/>
        <v>0</v>
      </c>
      <c r="O22" s="118">
        <f t="shared" si="9"/>
        <v>0</v>
      </c>
      <c r="P22" s="118">
        <f t="shared" si="9"/>
        <v>0</v>
      </c>
      <c r="Q22" s="118">
        <f t="shared" si="9"/>
        <v>34566334</v>
      </c>
      <c r="S22" s="231"/>
    </row>
    <row r="23" spans="1:19" s="117" customFormat="1" ht="12.75" customHeight="1" x14ac:dyDescent="0.2">
      <c r="A23" s="248"/>
      <c r="B23" s="459" t="s">
        <v>233</v>
      </c>
      <c r="C23" s="459"/>
      <c r="D23" s="245" t="s">
        <v>494</v>
      </c>
      <c r="E23" s="114">
        <f t="shared" ref="E23:P23" si="10">SUM(E24)</f>
        <v>0</v>
      </c>
      <c r="F23" s="114">
        <f t="shared" si="10"/>
        <v>0</v>
      </c>
      <c r="G23" s="114">
        <f t="shared" si="10"/>
        <v>0</v>
      </c>
      <c r="H23" s="114">
        <f>I23-E23-F23-G23</f>
        <v>0</v>
      </c>
      <c r="I23" s="114">
        <f t="shared" si="10"/>
        <v>0</v>
      </c>
      <c r="J23" s="114">
        <f t="shared" si="10"/>
        <v>0</v>
      </c>
      <c r="K23" s="114">
        <f t="shared" si="10"/>
        <v>0</v>
      </c>
      <c r="L23" s="114">
        <f t="shared" si="10"/>
        <v>0</v>
      </c>
      <c r="M23" s="114">
        <f t="shared" si="10"/>
        <v>0</v>
      </c>
      <c r="N23" s="114">
        <f t="shared" si="10"/>
        <v>0</v>
      </c>
      <c r="O23" s="114">
        <f t="shared" si="10"/>
        <v>0</v>
      </c>
      <c r="P23" s="114">
        <f t="shared" si="10"/>
        <v>0</v>
      </c>
      <c r="Q23" s="114">
        <f>I23+N23+P23</f>
        <v>0</v>
      </c>
      <c r="S23" s="230"/>
    </row>
    <row r="24" spans="1:19" x14ac:dyDescent="0.2">
      <c r="A24" s="248"/>
      <c r="B24" s="165" t="s">
        <v>26</v>
      </c>
      <c r="C24" s="7" t="s">
        <v>234</v>
      </c>
      <c r="D24" s="7" t="s">
        <v>494</v>
      </c>
      <c r="E24" s="113">
        <v>0</v>
      </c>
      <c r="F24" s="113">
        <v>0</v>
      </c>
      <c r="G24" s="113">
        <v>0</v>
      </c>
      <c r="H24" s="113">
        <f>I24-E24-G24</f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f>SUM(J24:M24)</f>
        <v>0</v>
      </c>
      <c r="O24" s="113">
        <v>0</v>
      </c>
      <c r="P24" s="113">
        <v>0</v>
      </c>
      <c r="Q24" s="174">
        <f>I24+N24+P24</f>
        <v>0</v>
      </c>
      <c r="S24" s="229"/>
    </row>
    <row r="25" spans="1:19" s="117" customFormat="1" x14ac:dyDescent="0.2">
      <c r="A25" s="462" t="s">
        <v>27</v>
      </c>
      <c r="B25" s="463" t="s">
        <v>399</v>
      </c>
      <c r="C25" s="463"/>
      <c r="D25" s="249" t="s">
        <v>493</v>
      </c>
      <c r="E25" s="114">
        <v>5600000</v>
      </c>
      <c r="F25" s="114">
        <v>0</v>
      </c>
      <c r="G25" s="114">
        <v>0</v>
      </c>
      <c r="H25" s="114">
        <f t="shared" ref="H25:H41" si="11">I25-E25-F25-G25</f>
        <v>1002083</v>
      </c>
      <c r="I25" s="114">
        <v>6602083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114">
        <v>0</v>
      </c>
      <c r="Q25" s="114">
        <f>I25+N25+P25</f>
        <v>6602083</v>
      </c>
      <c r="S25" s="230"/>
    </row>
    <row r="26" spans="1:19" s="229" customFormat="1" x14ac:dyDescent="0.2">
      <c r="A26" s="462"/>
      <c r="B26" s="242" t="s">
        <v>26</v>
      </c>
      <c r="C26" s="235" t="s">
        <v>171</v>
      </c>
      <c r="D26" s="235" t="s">
        <v>495</v>
      </c>
      <c r="E26" s="241">
        <v>25000000</v>
      </c>
      <c r="F26" s="241">
        <v>0</v>
      </c>
      <c r="G26" s="241">
        <v>4116000</v>
      </c>
      <c r="H26" s="241">
        <f t="shared" si="11"/>
        <v>6314294</v>
      </c>
      <c r="I26" s="241">
        <v>35430294</v>
      </c>
      <c r="J26" s="241">
        <v>0</v>
      </c>
      <c r="K26" s="241">
        <v>0</v>
      </c>
      <c r="L26" s="241">
        <v>0</v>
      </c>
      <c r="M26" s="241">
        <v>0</v>
      </c>
      <c r="N26" s="241">
        <f>SUM(J26:M26)</f>
        <v>0</v>
      </c>
      <c r="O26" s="241">
        <v>0</v>
      </c>
      <c r="P26" s="241">
        <v>0</v>
      </c>
      <c r="Q26" s="174">
        <f t="shared" ref="Q26:Q28" si="12">I26+N26+P26</f>
        <v>35430294</v>
      </c>
    </row>
    <row r="27" spans="1:19" s="229" customFormat="1" x14ac:dyDescent="0.2">
      <c r="A27" s="462"/>
      <c r="B27" s="242" t="s">
        <v>27</v>
      </c>
      <c r="C27" s="235" t="s">
        <v>172</v>
      </c>
      <c r="D27" s="235" t="s">
        <v>496</v>
      </c>
      <c r="E27" s="241">
        <v>7200000</v>
      </c>
      <c r="F27" s="241">
        <v>0</v>
      </c>
      <c r="G27" s="241">
        <v>0</v>
      </c>
      <c r="H27" s="241">
        <f t="shared" si="11"/>
        <v>2094521</v>
      </c>
      <c r="I27" s="241">
        <v>9294521</v>
      </c>
      <c r="J27" s="241">
        <v>0</v>
      </c>
      <c r="K27" s="241">
        <v>0</v>
      </c>
      <c r="L27" s="241">
        <v>0</v>
      </c>
      <c r="M27" s="241">
        <v>0</v>
      </c>
      <c r="N27" s="241">
        <f t="shared" ref="N27:N28" si="13">SUM(J27:M27)</f>
        <v>0</v>
      </c>
      <c r="O27" s="241">
        <v>0</v>
      </c>
      <c r="P27" s="241">
        <v>0</v>
      </c>
      <c r="Q27" s="174">
        <f t="shared" si="12"/>
        <v>9294521</v>
      </c>
    </row>
    <row r="28" spans="1:19" x14ac:dyDescent="0.2">
      <c r="A28" s="462"/>
      <c r="B28" s="111" t="s">
        <v>28</v>
      </c>
      <c r="C28" s="112" t="s">
        <v>173</v>
      </c>
      <c r="D28" s="112" t="s">
        <v>500</v>
      </c>
      <c r="E28" s="113">
        <v>0</v>
      </c>
      <c r="F28" s="113">
        <v>0</v>
      </c>
      <c r="G28" s="113">
        <v>0</v>
      </c>
      <c r="H28" s="241">
        <f t="shared" si="11"/>
        <v>0</v>
      </c>
      <c r="I28" s="241">
        <v>0</v>
      </c>
      <c r="J28" s="241">
        <v>0</v>
      </c>
      <c r="K28" s="241">
        <v>0</v>
      </c>
      <c r="L28" s="241">
        <v>0</v>
      </c>
      <c r="M28" s="241">
        <v>0</v>
      </c>
      <c r="N28" s="241">
        <f t="shared" si="13"/>
        <v>0</v>
      </c>
      <c r="O28" s="241">
        <v>0</v>
      </c>
      <c r="P28" s="241">
        <v>0</v>
      </c>
      <c r="Q28" s="174">
        <f t="shared" si="12"/>
        <v>0</v>
      </c>
      <c r="S28" s="229"/>
    </row>
    <row r="29" spans="1:19" ht="17.25" customHeight="1" x14ac:dyDescent="0.2">
      <c r="A29" s="462"/>
      <c r="B29" s="463" t="s">
        <v>174</v>
      </c>
      <c r="C29" s="463"/>
      <c r="D29" s="249" t="s">
        <v>497</v>
      </c>
      <c r="E29" s="114">
        <f t="shared" ref="E29:Q29" si="14">SUM(E26:E28)</f>
        <v>32200000</v>
      </c>
      <c r="F29" s="114">
        <f t="shared" si="14"/>
        <v>0</v>
      </c>
      <c r="G29" s="114">
        <f t="shared" si="14"/>
        <v>4116000</v>
      </c>
      <c r="H29" s="114">
        <f t="shared" si="11"/>
        <v>8408815</v>
      </c>
      <c r="I29" s="114">
        <f t="shared" si="14"/>
        <v>44724815</v>
      </c>
      <c r="J29" s="114">
        <f t="shared" si="14"/>
        <v>0</v>
      </c>
      <c r="K29" s="114">
        <f t="shared" si="14"/>
        <v>0</v>
      </c>
      <c r="L29" s="114">
        <v>0</v>
      </c>
      <c r="M29" s="114">
        <f t="shared" si="14"/>
        <v>0</v>
      </c>
      <c r="N29" s="114">
        <f t="shared" si="14"/>
        <v>0</v>
      </c>
      <c r="O29" s="114">
        <f t="shared" si="14"/>
        <v>0</v>
      </c>
      <c r="P29" s="114">
        <f t="shared" si="14"/>
        <v>0</v>
      </c>
      <c r="Q29" s="114">
        <f t="shared" si="14"/>
        <v>44724815</v>
      </c>
      <c r="S29" s="229"/>
    </row>
    <row r="30" spans="1:19" s="117" customFormat="1" ht="18.75" customHeight="1" x14ac:dyDescent="0.2">
      <c r="A30" s="462"/>
      <c r="B30" s="463" t="s">
        <v>175</v>
      </c>
      <c r="C30" s="463"/>
      <c r="D30" s="249" t="s">
        <v>498</v>
      </c>
      <c r="E30" s="114">
        <v>0</v>
      </c>
      <c r="F30" s="114">
        <v>126486</v>
      </c>
      <c r="G30" s="114">
        <v>134531</v>
      </c>
      <c r="H30" s="114">
        <f t="shared" si="11"/>
        <v>3320044</v>
      </c>
      <c r="I30" s="114">
        <v>3581061</v>
      </c>
      <c r="J30" s="114">
        <v>0</v>
      </c>
      <c r="K30" s="114">
        <v>0</v>
      </c>
      <c r="L30" s="114">
        <v>0</v>
      </c>
      <c r="M30" s="114">
        <v>0</v>
      </c>
      <c r="N30" s="114">
        <v>0</v>
      </c>
      <c r="O30" s="114">
        <v>0</v>
      </c>
      <c r="P30" s="114">
        <v>0</v>
      </c>
      <c r="Q30" s="114">
        <f>I30+N30+P30</f>
        <v>3581061</v>
      </c>
      <c r="S30" s="230"/>
    </row>
    <row r="31" spans="1:19" s="119" customFormat="1" ht="18" customHeight="1" x14ac:dyDescent="0.2">
      <c r="A31" s="462"/>
      <c r="B31" s="460" t="s">
        <v>176</v>
      </c>
      <c r="C31" s="460"/>
      <c r="D31" s="246" t="s">
        <v>499</v>
      </c>
      <c r="E31" s="118">
        <f t="shared" ref="E31:Q31" si="15">E25+E29+E30</f>
        <v>37800000</v>
      </c>
      <c r="F31" s="118">
        <f t="shared" si="15"/>
        <v>126486</v>
      </c>
      <c r="G31" s="118">
        <f t="shared" si="15"/>
        <v>4250531</v>
      </c>
      <c r="H31" s="118">
        <f t="shared" si="11"/>
        <v>12730942</v>
      </c>
      <c r="I31" s="118">
        <f t="shared" si="15"/>
        <v>54907959</v>
      </c>
      <c r="J31" s="118">
        <f t="shared" si="15"/>
        <v>0</v>
      </c>
      <c r="K31" s="118">
        <f t="shared" si="15"/>
        <v>0</v>
      </c>
      <c r="L31" s="118">
        <f t="shared" si="15"/>
        <v>0</v>
      </c>
      <c r="M31" s="118">
        <f t="shared" si="15"/>
        <v>0</v>
      </c>
      <c r="N31" s="118">
        <f t="shared" si="15"/>
        <v>0</v>
      </c>
      <c r="O31" s="118">
        <f t="shared" si="15"/>
        <v>0</v>
      </c>
      <c r="P31" s="118">
        <f t="shared" si="15"/>
        <v>0</v>
      </c>
      <c r="Q31" s="118">
        <f t="shared" si="15"/>
        <v>54907959</v>
      </c>
      <c r="S31" s="231"/>
    </row>
    <row r="32" spans="1:19" s="229" customFormat="1" x14ac:dyDescent="0.2">
      <c r="A32" s="462" t="s">
        <v>28</v>
      </c>
      <c r="B32" s="243"/>
      <c r="C32" s="235" t="s">
        <v>177</v>
      </c>
      <c r="D32" s="235" t="s">
        <v>501</v>
      </c>
      <c r="E32" s="241">
        <f>10400000-7614000</f>
        <v>2786000</v>
      </c>
      <c r="F32" s="241">
        <v>0</v>
      </c>
      <c r="G32" s="241">
        <v>0</v>
      </c>
      <c r="H32" s="241">
        <f t="shared" si="11"/>
        <v>2865426</v>
      </c>
      <c r="I32" s="241">
        <f>21096252-15444826</f>
        <v>5651426</v>
      </c>
      <c r="J32" s="241">
        <v>7614000</v>
      </c>
      <c r="K32" s="241">
        <v>0</v>
      </c>
      <c r="L32" s="241">
        <v>0</v>
      </c>
      <c r="M32" s="241">
        <v>7830826</v>
      </c>
      <c r="N32" s="241">
        <v>15444826</v>
      </c>
      <c r="O32" s="241">
        <v>0</v>
      </c>
      <c r="P32" s="241">
        <v>0</v>
      </c>
      <c r="Q32" s="241">
        <f>I32+N32+P32</f>
        <v>21096252</v>
      </c>
    </row>
    <row r="33" spans="1:19" x14ac:dyDescent="0.2">
      <c r="A33" s="462"/>
      <c r="B33" s="120"/>
      <c r="C33" s="112" t="s">
        <v>178</v>
      </c>
      <c r="D33" s="112" t="s">
        <v>502</v>
      </c>
      <c r="E33" s="241">
        <v>0</v>
      </c>
      <c r="F33" s="241">
        <v>0</v>
      </c>
      <c r="G33" s="241">
        <v>0</v>
      </c>
      <c r="H33" s="241">
        <f t="shared" si="11"/>
        <v>0</v>
      </c>
      <c r="I33" s="241">
        <v>0</v>
      </c>
      <c r="J33" s="241">
        <v>2000000</v>
      </c>
      <c r="K33" s="241">
        <v>0</v>
      </c>
      <c r="L33" s="241">
        <v>0</v>
      </c>
      <c r="M33" s="241">
        <v>-408920</v>
      </c>
      <c r="N33" s="241">
        <v>1591080</v>
      </c>
      <c r="O33" s="241">
        <v>0</v>
      </c>
      <c r="P33" s="241">
        <v>0</v>
      </c>
      <c r="Q33" s="241">
        <f t="shared" ref="Q33:Q42" si="16">I33+N33+P33</f>
        <v>1591080</v>
      </c>
      <c r="R33" s="229"/>
      <c r="S33" s="229"/>
    </row>
    <row r="34" spans="1:19" s="229" customFormat="1" x14ac:dyDescent="0.2">
      <c r="A34" s="462"/>
      <c r="B34" s="243"/>
      <c r="C34" s="235" t="s">
        <v>179</v>
      </c>
      <c r="D34" s="235" t="s">
        <v>509</v>
      </c>
      <c r="E34" s="241">
        <v>0</v>
      </c>
      <c r="F34" s="241">
        <v>0</v>
      </c>
      <c r="G34" s="241">
        <v>0</v>
      </c>
      <c r="H34" s="241">
        <f t="shared" si="11"/>
        <v>0</v>
      </c>
      <c r="I34" s="241">
        <v>0</v>
      </c>
      <c r="J34" s="241">
        <v>0</v>
      </c>
      <c r="K34" s="241">
        <v>0</v>
      </c>
      <c r="L34" s="241">
        <v>0</v>
      </c>
      <c r="M34" s="241">
        <v>0</v>
      </c>
      <c r="N34" s="241">
        <v>0</v>
      </c>
      <c r="O34" s="241">
        <v>0</v>
      </c>
      <c r="P34" s="241">
        <v>0</v>
      </c>
      <c r="Q34" s="241">
        <f t="shared" si="16"/>
        <v>0</v>
      </c>
    </row>
    <row r="35" spans="1:19" x14ac:dyDescent="0.2">
      <c r="A35" s="462"/>
      <c r="B35" s="120"/>
      <c r="C35" s="112" t="s">
        <v>180</v>
      </c>
      <c r="D35" s="112" t="s">
        <v>503</v>
      </c>
      <c r="E35" s="113">
        <v>2000000</v>
      </c>
      <c r="F35" s="113">
        <v>0</v>
      </c>
      <c r="G35" s="113">
        <v>0</v>
      </c>
      <c r="H35" s="113">
        <f t="shared" si="11"/>
        <v>949408</v>
      </c>
      <c r="I35" s="113">
        <v>2949408</v>
      </c>
      <c r="J35" s="113">
        <v>0</v>
      </c>
      <c r="K35" s="113">
        <v>0</v>
      </c>
      <c r="L35" s="113">
        <v>0</v>
      </c>
      <c r="M35" s="113">
        <v>0</v>
      </c>
      <c r="N35" s="113">
        <v>0</v>
      </c>
      <c r="O35" s="113">
        <v>0</v>
      </c>
      <c r="P35" s="113">
        <v>0</v>
      </c>
      <c r="Q35" s="241">
        <f t="shared" si="16"/>
        <v>2949408</v>
      </c>
      <c r="S35" s="229"/>
    </row>
    <row r="36" spans="1:19" x14ac:dyDescent="0.2">
      <c r="A36" s="462"/>
      <c r="B36" s="120"/>
      <c r="C36" s="112" t="s">
        <v>181</v>
      </c>
      <c r="D36" s="112" t="s">
        <v>504</v>
      </c>
      <c r="E36" s="113">
        <v>700000</v>
      </c>
      <c r="F36" s="113">
        <v>0</v>
      </c>
      <c r="G36" s="113">
        <v>156941</v>
      </c>
      <c r="H36" s="113">
        <f t="shared" si="11"/>
        <v>541670</v>
      </c>
      <c r="I36" s="113">
        <v>1398611</v>
      </c>
      <c r="J36" s="113">
        <v>0</v>
      </c>
      <c r="K36" s="113">
        <v>0</v>
      </c>
      <c r="L36" s="113">
        <v>0</v>
      </c>
      <c r="M36" s="113">
        <v>0</v>
      </c>
      <c r="N36" s="113">
        <v>0</v>
      </c>
      <c r="O36" s="113">
        <v>0</v>
      </c>
      <c r="P36" s="113">
        <v>0</v>
      </c>
      <c r="Q36" s="241">
        <f t="shared" si="16"/>
        <v>1398611</v>
      </c>
      <c r="S36" s="229"/>
    </row>
    <row r="37" spans="1:19" x14ac:dyDescent="0.2">
      <c r="A37" s="462"/>
      <c r="B37" s="120"/>
      <c r="C37" s="112" t="s">
        <v>182</v>
      </c>
      <c r="D37" s="112" t="s">
        <v>505</v>
      </c>
      <c r="E37" s="113">
        <v>0</v>
      </c>
      <c r="F37" s="113">
        <v>75062</v>
      </c>
      <c r="G37" s="113">
        <v>58315</v>
      </c>
      <c r="H37" s="113">
        <f t="shared" si="11"/>
        <v>48910</v>
      </c>
      <c r="I37" s="113">
        <v>182287</v>
      </c>
      <c r="J37" s="113">
        <v>0</v>
      </c>
      <c r="K37" s="113">
        <v>0</v>
      </c>
      <c r="L37" s="113">
        <v>0</v>
      </c>
      <c r="M37" s="113">
        <v>0</v>
      </c>
      <c r="N37" s="113">
        <v>0</v>
      </c>
      <c r="O37" s="113">
        <v>0</v>
      </c>
      <c r="P37" s="113">
        <v>0</v>
      </c>
      <c r="Q37" s="241">
        <f t="shared" si="16"/>
        <v>182287</v>
      </c>
      <c r="S37" s="229"/>
    </row>
    <row r="38" spans="1:19" s="122" customFormat="1" x14ac:dyDescent="0.2">
      <c r="A38" s="462"/>
      <c r="B38" s="121"/>
      <c r="C38" s="112" t="s">
        <v>511</v>
      </c>
      <c r="D38" s="235" t="s">
        <v>510</v>
      </c>
      <c r="E38" s="113">
        <v>0</v>
      </c>
      <c r="F38" s="113">
        <v>0</v>
      </c>
      <c r="G38" s="113">
        <v>0</v>
      </c>
      <c r="H38" s="113">
        <f t="shared" si="11"/>
        <v>0</v>
      </c>
      <c r="I38" s="113">
        <v>0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241">
        <f t="shared" si="16"/>
        <v>0</v>
      </c>
      <c r="S38" s="232"/>
    </row>
    <row r="39" spans="1:19" s="122" customFormat="1" x14ac:dyDescent="0.2">
      <c r="A39" s="462"/>
      <c r="B39" s="121"/>
      <c r="C39" s="112" t="s">
        <v>416</v>
      </c>
      <c r="D39" s="112" t="s">
        <v>506</v>
      </c>
      <c r="E39" s="113">
        <v>0</v>
      </c>
      <c r="F39" s="113">
        <v>10000</v>
      </c>
      <c r="G39" s="113">
        <v>0</v>
      </c>
      <c r="H39" s="113">
        <f t="shared" si="11"/>
        <v>117183</v>
      </c>
      <c r="I39" s="113">
        <v>127183</v>
      </c>
      <c r="J39" s="113">
        <v>0</v>
      </c>
      <c r="K39" s="113">
        <v>0</v>
      </c>
      <c r="L39" s="113">
        <v>0</v>
      </c>
      <c r="M39" s="113">
        <v>0</v>
      </c>
      <c r="N39" s="113">
        <v>0</v>
      </c>
      <c r="O39" s="113">
        <v>0</v>
      </c>
      <c r="P39" s="113">
        <v>0</v>
      </c>
      <c r="Q39" s="241">
        <f t="shared" si="16"/>
        <v>127183</v>
      </c>
      <c r="S39" s="232"/>
    </row>
    <row r="40" spans="1:19" s="122" customFormat="1" x14ac:dyDescent="0.2">
      <c r="A40" s="462"/>
      <c r="B40" s="121"/>
      <c r="C40" s="112" t="s">
        <v>417</v>
      </c>
      <c r="D40" s="235" t="s">
        <v>512</v>
      </c>
      <c r="E40" s="113">
        <v>0</v>
      </c>
      <c r="F40" s="113">
        <v>0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3">
        <v>0</v>
      </c>
      <c r="Q40" s="241">
        <f t="shared" si="16"/>
        <v>0</v>
      </c>
      <c r="S40" s="232"/>
    </row>
    <row r="41" spans="1:19" x14ac:dyDescent="0.2">
      <c r="A41" s="462"/>
      <c r="B41" s="120"/>
      <c r="C41" s="235" t="s">
        <v>183</v>
      </c>
      <c r="D41" s="112" t="s">
        <v>507</v>
      </c>
      <c r="E41" s="113">
        <v>0</v>
      </c>
      <c r="F41" s="113">
        <v>1924</v>
      </c>
      <c r="G41" s="113">
        <v>28502864</v>
      </c>
      <c r="H41" s="113">
        <f t="shared" si="11"/>
        <v>2259</v>
      </c>
      <c r="I41" s="113">
        <v>28507047</v>
      </c>
      <c r="J41" s="113">
        <v>0</v>
      </c>
      <c r="K41" s="113">
        <v>0</v>
      </c>
      <c r="L41" s="113">
        <v>0</v>
      </c>
      <c r="M41" s="113">
        <v>0</v>
      </c>
      <c r="N41" s="113">
        <v>0</v>
      </c>
      <c r="O41" s="113">
        <v>0</v>
      </c>
      <c r="P41" s="113">
        <v>0</v>
      </c>
      <c r="Q41" s="241">
        <f t="shared" si="16"/>
        <v>28507047</v>
      </c>
      <c r="S41" s="229"/>
    </row>
    <row r="42" spans="1:19" x14ac:dyDescent="0.2">
      <c r="A42" s="462"/>
      <c r="B42" s="120"/>
      <c r="C42" s="235"/>
      <c r="D42" s="235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241">
        <f t="shared" si="16"/>
        <v>0</v>
      </c>
      <c r="S42" s="229"/>
    </row>
    <row r="43" spans="1:19" x14ac:dyDescent="0.2">
      <c r="A43" s="462"/>
      <c r="B43" s="461" t="s">
        <v>184</v>
      </c>
      <c r="C43" s="461"/>
      <c r="D43" s="247" t="s">
        <v>508</v>
      </c>
      <c r="E43" s="123">
        <f t="shared" ref="E43:Q43" si="17">SUM(E32:E42)</f>
        <v>5486000</v>
      </c>
      <c r="F43" s="123">
        <f t="shared" si="17"/>
        <v>86986</v>
      </c>
      <c r="G43" s="123">
        <f t="shared" si="17"/>
        <v>28718120</v>
      </c>
      <c r="H43" s="123">
        <f>I43-E43-F43-G43</f>
        <v>4524856</v>
      </c>
      <c r="I43" s="123">
        <f t="shared" si="17"/>
        <v>38815962</v>
      </c>
      <c r="J43" s="123">
        <f t="shared" si="17"/>
        <v>9614000</v>
      </c>
      <c r="K43" s="123">
        <f t="shared" si="17"/>
        <v>0</v>
      </c>
      <c r="L43" s="123">
        <f t="shared" si="17"/>
        <v>0</v>
      </c>
      <c r="M43" s="123">
        <f t="shared" si="17"/>
        <v>7421906</v>
      </c>
      <c r="N43" s="123">
        <f t="shared" si="17"/>
        <v>17035906</v>
      </c>
      <c r="O43" s="123">
        <f t="shared" si="17"/>
        <v>0</v>
      </c>
      <c r="P43" s="123">
        <f t="shared" si="17"/>
        <v>0</v>
      </c>
      <c r="Q43" s="123">
        <f t="shared" si="17"/>
        <v>55851868</v>
      </c>
      <c r="S43" s="229"/>
    </row>
    <row r="44" spans="1:19" ht="20.25" customHeight="1" x14ac:dyDescent="0.2">
      <c r="A44" s="462" t="s">
        <v>29</v>
      </c>
      <c r="B44" s="120"/>
      <c r="C44" s="112" t="s">
        <v>185</v>
      </c>
      <c r="D44" s="112" t="s">
        <v>513</v>
      </c>
      <c r="E44" s="113">
        <v>0</v>
      </c>
      <c r="F44" s="113">
        <v>175900</v>
      </c>
      <c r="G44" s="113">
        <v>0</v>
      </c>
      <c r="H44" s="113">
        <f>I44-E44-F44-G44</f>
        <v>240354</v>
      </c>
      <c r="I44" s="113">
        <v>416254</v>
      </c>
      <c r="J44" s="113"/>
      <c r="K44" s="113"/>
      <c r="L44" s="113"/>
      <c r="M44" s="113"/>
      <c r="N44" s="113"/>
      <c r="O44" s="113">
        <v>0</v>
      </c>
      <c r="P44" s="113">
        <v>0</v>
      </c>
      <c r="Q44" s="113">
        <f>I44+N44+P44</f>
        <v>416254</v>
      </c>
      <c r="S44" s="229"/>
    </row>
    <row r="45" spans="1:19" ht="20.25" customHeight="1" x14ac:dyDescent="0.2">
      <c r="A45" s="462"/>
      <c r="B45" s="120"/>
      <c r="C45" s="112" t="s">
        <v>232</v>
      </c>
      <c r="D45" s="112" t="s">
        <v>515</v>
      </c>
      <c r="E45" s="113">
        <v>0</v>
      </c>
      <c r="F45" s="113">
        <v>0</v>
      </c>
      <c r="G45" s="113">
        <v>0</v>
      </c>
      <c r="H45" s="113">
        <f t="shared" ref="H45:H52" si="18">I45-E45-F45-G45</f>
        <v>0</v>
      </c>
      <c r="I45" s="113">
        <v>0</v>
      </c>
      <c r="J45" s="113"/>
      <c r="K45" s="113"/>
      <c r="L45" s="113"/>
      <c r="M45" s="113"/>
      <c r="N45" s="113"/>
      <c r="O45" s="113">
        <v>0</v>
      </c>
      <c r="P45" s="113">
        <v>0</v>
      </c>
      <c r="Q45" s="113">
        <f t="shared" ref="Q45:Q46" si="19">I45+N45+P45</f>
        <v>0</v>
      </c>
      <c r="S45" s="229"/>
    </row>
    <row r="46" spans="1:19" ht="20.25" customHeight="1" x14ac:dyDescent="0.2">
      <c r="A46" s="462"/>
      <c r="B46" s="120"/>
      <c r="C46" s="112" t="s">
        <v>225</v>
      </c>
      <c r="D46" s="112" t="s">
        <v>516</v>
      </c>
      <c r="E46" s="113">
        <v>0</v>
      </c>
      <c r="F46" s="113">
        <v>0</v>
      </c>
      <c r="G46" s="113">
        <v>0</v>
      </c>
      <c r="H46" s="113">
        <f t="shared" si="18"/>
        <v>0</v>
      </c>
      <c r="I46" s="113">
        <v>0</v>
      </c>
      <c r="J46" s="113"/>
      <c r="K46" s="113"/>
      <c r="L46" s="113"/>
      <c r="M46" s="113"/>
      <c r="N46" s="113"/>
      <c r="O46" s="113">
        <v>0</v>
      </c>
      <c r="P46" s="113">
        <v>0</v>
      </c>
      <c r="Q46" s="113">
        <f t="shared" si="19"/>
        <v>0</v>
      </c>
      <c r="S46" s="229"/>
    </row>
    <row r="47" spans="1:19" ht="16.5" customHeight="1" x14ac:dyDescent="0.2">
      <c r="A47" s="462"/>
      <c r="B47" s="461" t="s">
        <v>186</v>
      </c>
      <c r="C47" s="461"/>
      <c r="D47" s="247" t="s">
        <v>514</v>
      </c>
      <c r="E47" s="123">
        <f t="shared" ref="E47:Q47" si="20">SUM(E44:E46)</f>
        <v>0</v>
      </c>
      <c r="F47" s="123">
        <f t="shared" si="20"/>
        <v>175900</v>
      </c>
      <c r="G47" s="123">
        <f t="shared" si="20"/>
        <v>0</v>
      </c>
      <c r="H47" s="123">
        <f t="shared" si="18"/>
        <v>240354</v>
      </c>
      <c r="I47" s="123">
        <f t="shared" si="20"/>
        <v>416254</v>
      </c>
      <c r="J47" s="123">
        <f t="shared" si="20"/>
        <v>0</v>
      </c>
      <c r="K47" s="123">
        <f t="shared" si="20"/>
        <v>0</v>
      </c>
      <c r="L47" s="123">
        <f t="shared" si="20"/>
        <v>0</v>
      </c>
      <c r="M47" s="123">
        <f t="shared" si="20"/>
        <v>0</v>
      </c>
      <c r="N47" s="123">
        <f t="shared" si="20"/>
        <v>0</v>
      </c>
      <c r="O47" s="123">
        <f t="shared" si="20"/>
        <v>0</v>
      </c>
      <c r="P47" s="123">
        <f t="shared" si="20"/>
        <v>0</v>
      </c>
      <c r="Q47" s="123">
        <f t="shared" si="20"/>
        <v>416254</v>
      </c>
      <c r="S47" s="229"/>
    </row>
    <row r="48" spans="1:19" x14ac:dyDescent="0.2">
      <c r="A48" s="462" t="s">
        <v>30</v>
      </c>
      <c r="B48" s="120"/>
      <c r="C48" s="235"/>
      <c r="D48" s="235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S48" s="229"/>
    </row>
    <row r="49" spans="1:19" x14ac:dyDescent="0.2">
      <c r="A49" s="462"/>
      <c r="B49" s="120"/>
      <c r="C49" s="112" t="s">
        <v>418</v>
      </c>
      <c r="D49" s="112" t="s">
        <v>517</v>
      </c>
      <c r="E49" s="113">
        <v>0</v>
      </c>
      <c r="F49" s="113">
        <v>0</v>
      </c>
      <c r="G49" s="113">
        <v>0</v>
      </c>
      <c r="H49" s="113">
        <f t="shared" si="18"/>
        <v>0</v>
      </c>
      <c r="I49" s="113">
        <v>0</v>
      </c>
      <c r="J49" s="113"/>
      <c r="K49" s="113"/>
      <c r="L49" s="113"/>
      <c r="M49" s="113"/>
      <c r="N49" s="113"/>
      <c r="O49" s="113">
        <v>0</v>
      </c>
      <c r="P49" s="113">
        <v>0</v>
      </c>
      <c r="Q49" s="113">
        <f>I49+N49+O49</f>
        <v>0</v>
      </c>
      <c r="S49" s="229"/>
    </row>
    <row r="50" spans="1:19" x14ac:dyDescent="0.2">
      <c r="A50" s="462"/>
      <c r="B50" s="461" t="s">
        <v>419</v>
      </c>
      <c r="C50" s="461"/>
      <c r="D50" s="247" t="s">
        <v>518</v>
      </c>
      <c r="E50" s="123">
        <f t="shared" ref="E50:Q50" si="21">SUM(E48:E49)</f>
        <v>0</v>
      </c>
      <c r="F50" s="123">
        <f t="shared" si="21"/>
        <v>0</v>
      </c>
      <c r="G50" s="123">
        <f t="shared" si="21"/>
        <v>0</v>
      </c>
      <c r="H50" s="123">
        <f t="shared" si="18"/>
        <v>0</v>
      </c>
      <c r="I50" s="123">
        <f t="shared" si="21"/>
        <v>0</v>
      </c>
      <c r="J50" s="123">
        <f t="shared" si="21"/>
        <v>0</v>
      </c>
      <c r="K50" s="123">
        <f t="shared" si="21"/>
        <v>0</v>
      </c>
      <c r="L50" s="123">
        <f t="shared" si="21"/>
        <v>0</v>
      </c>
      <c r="M50" s="123">
        <f t="shared" si="21"/>
        <v>0</v>
      </c>
      <c r="N50" s="123">
        <f t="shared" si="21"/>
        <v>0</v>
      </c>
      <c r="O50" s="123">
        <f t="shared" si="21"/>
        <v>0</v>
      </c>
      <c r="P50" s="123">
        <f t="shared" si="21"/>
        <v>0</v>
      </c>
      <c r="Q50" s="123">
        <f t="shared" si="21"/>
        <v>0</v>
      </c>
      <c r="S50" s="229"/>
    </row>
    <row r="51" spans="1:19" s="125" customFormat="1" ht="24.75" customHeight="1" x14ac:dyDescent="0.2">
      <c r="A51" s="467" t="s">
        <v>187</v>
      </c>
      <c r="B51" s="467"/>
      <c r="C51" s="467"/>
      <c r="D51" s="251" t="s">
        <v>519</v>
      </c>
      <c r="E51" s="124">
        <f t="shared" ref="E51:Q51" si="22">E20+E31+E43+E47+E50+E22</f>
        <v>76377873</v>
      </c>
      <c r="F51" s="124">
        <f t="shared" si="22"/>
        <v>514555</v>
      </c>
      <c r="G51" s="124">
        <f t="shared" si="22"/>
        <v>34301514</v>
      </c>
      <c r="H51" s="124">
        <f t="shared" si="18"/>
        <v>56909991</v>
      </c>
      <c r="I51" s="124">
        <f t="shared" si="22"/>
        <v>168103933</v>
      </c>
      <c r="J51" s="124">
        <f t="shared" si="22"/>
        <v>9614000</v>
      </c>
      <c r="K51" s="124">
        <f t="shared" si="22"/>
        <v>0</v>
      </c>
      <c r="L51" s="124">
        <f t="shared" si="22"/>
        <v>0</v>
      </c>
      <c r="M51" s="124">
        <f t="shared" si="22"/>
        <v>7421906</v>
      </c>
      <c r="N51" s="124">
        <f t="shared" si="22"/>
        <v>17035906</v>
      </c>
      <c r="O51" s="124">
        <f t="shared" si="22"/>
        <v>0</v>
      </c>
      <c r="P51" s="124">
        <f t="shared" si="22"/>
        <v>0</v>
      </c>
      <c r="Q51" s="124">
        <f t="shared" si="22"/>
        <v>185139839</v>
      </c>
      <c r="S51" s="233"/>
    </row>
    <row r="52" spans="1:19" ht="17.25" customHeight="1" x14ac:dyDescent="0.2">
      <c r="A52" s="462" t="s">
        <v>32</v>
      </c>
      <c r="B52" s="120"/>
      <c r="C52" s="112" t="s">
        <v>188</v>
      </c>
      <c r="D52" s="112" t="s">
        <v>520</v>
      </c>
      <c r="E52" s="113">
        <v>0</v>
      </c>
      <c r="F52" s="113">
        <v>0</v>
      </c>
      <c r="G52" s="113">
        <v>0</v>
      </c>
      <c r="H52" s="113">
        <f t="shared" si="18"/>
        <v>0</v>
      </c>
      <c r="I52" s="113">
        <v>0</v>
      </c>
      <c r="J52" s="113">
        <v>0</v>
      </c>
      <c r="K52" s="113">
        <v>0</v>
      </c>
      <c r="L52" s="113">
        <v>0</v>
      </c>
      <c r="M52" s="113">
        <v>0</v>
      </c>
      <c r="N52" s="113">
        <v>0</v>
      </c>
      <c r="O52" s="113">
        <v>0</v>
      </c>
      <c r="P52" s="113">
        <v>0</v>
      </c>
      <c r="Q52" s="113">
        <f>I52+N52+P52</f>
        <v>0</v>
      </c>
      <c r="S52" s="229"/>
    </row>
    <row r="53" spans="1:19" ht="18.75" customHeight="1" x14ac:dyDescent="0.2">
      <c r="A53" s="462"/>
      <c r="B53" s="461" t="s">
        <v>189</v>
      </c>
      <c r="C53" s="461"/>
      <c r="D53" s="247" t="s">
        <v>521</v>
      </c>
      <c r="E53" s="123">
        <f t="shared" ref="E53:Q53" si="23">SUM(E52)</f>
        <v>0</v>
      </c>
      <c r="F53" s="123">
        <f t="shared" si="23"/>
        <v>0</v>
      </c>
      <c r="G53" s="123">
        <f t="shared" si="23"/>
        <v>0</v>
      </c>
      <c r="H53" s="123">
        <f>I53-E53-G53</f>
        <v>0</v>
      </c>
      <c r="I53" s="123">
        <f t="shared" si="23"/>
        <v>0</v>
      </c>
      <c r="J53" s="123">
        <f t="shared" si="23"/>
        <v>0</v>
      </c>
      <c r="K53" s="123">
        <f t="shared" si="23"/>
        <v>0</v>
      </c>
      <c r="L53" s="123">
        <f t="shared" si="23"/>
        <v>0</v>
      </c>
      <c r="M53" s="123">
        <f t="shared" si="23"/>
        <v>0</v>
      </c>
      <c r="N53" s="123">
        <f t="shared" si="23"/>
        <v>0</v>
      </c>
      <c r="O53" s="123">
        <f t="shared" si="23"/>
        <v>0</v>
      </c>
      <c r="P53" s="123">
        <f t="shared" si="23"/>
        <v>0</v>
      </c>
      <c r="Q53" s="123">
        <f t="shared" si="23"/>
        <v>0</v>
      </c>
      <c r="S53" s="229"/>
    </row>
    <row r="54" spans="1:19" ht="15" customHeight="1" x14ac:dyDescent="0.2">
      <c r="A54" s="462" t="s">
        <v>34</v>
      </c>
      <c r="B54" s="120"/>
      <c r="C54" s="112" t="s">
        <v>190</v>
      </c>
      <c r="D54" s="112" t="s">
        <v>522</v>
      </c>
      <c r="E54" s="113">
        <v>33048454</v>
      </c>
      <c r="F54" s="113">
        <v>0</v>
      </c>
      <c r="G54" s="113">
        <v>0</v>
      </c>
      <c r="H54" s="113">
        <f t="shared" ref="H54:H59" si="24">I54-E54-F54-G54</f>
        <v>0</v>
      </c>
      <c r="I54" s="113">
        <v>33048454</v>
      </c>
      <c r="J54" s="113"/>
      <c r="K54" s="113"/>
      <c r="L54" s="113"/>
      <c r="M54" s="113"/>
      <c r="N54" s="113"/>
      <c r="O54" s="113">
        <v>0</v>
      </c>
      <c r="P54" s="113">
        <v>0</v>
      </c>
      <c r="Q54" s="113">
        <f>I54+N54+P54</f>
        <v>33048454</v>
      </c>
      <c r="S54" s="229"/>
    </row>
    <row r="55" spans="1:19" ht="17.25" customHeight="1" x14ac:dyDescent="0.2">
      <c r="A55" s="462"/>
      <c r="B55" s="461" t="s">
        <v>191</v>
      </c>
      <c r="C55" s="461"/>
      <c r="D55" s="247" t="s">
        <v>523</v>
      </c>
      <c r="E55" s="123">
        <f t="shared" ref="E55:Q55" si="25">SUM(E54)</f>
        <v>33048454</v>
      </c>
      <c r="F55" s="123">
        <f t="shared" si="25"/>
        <v>0</v>
      </c>
      <c r="G55" s="123">
        <f t="shared" si="25"/>
        <v>0</v>
      </c>
      <c r="H55" s="123">
        <f t="shared" si="24"/>
        <v>0</v>
      </c>
      <c r="I55" s="123">
        <f t="shared" si="25"/>
        <v>33048454</v>
      </c>
      <c r="J55" s="123">
        <f t="shared" si="25"/>
        <v>0</v>
      </c>
      <c r="K55" s="123">
        <f t="shared" si="25"/>
        <v>0</v>
      </c>
      <c r="L55" s="123">
        <f t="shared" si="25"/>
        <v>0</v>
      </c>
      <c r="M55" s="123">
        <f t="shared" si="25"/>
        <v>0</v>
      </c>
      <c r="N55" s="123">
        <f t="shared" si="25"/>
        <v>0</v>
      </c>
      <c r="O55" s="123">
        <f t="shared" si="25"/>
        <v>0</v>
      </c>
      <c r="P55" s="123">
        <f t="shared" si="25"/>
        <v>0</v>
      </c>
      <c r="Q55" s="123">
        <f t="shared" si="25"/>
        <v>33048454</v>
      </c>
      <c r="S55" s="229"/>
    </row>
    <row r="56" spans="1:19" ht="15" customHeight="1" x14ac:dyDescent="0.2">
      <c r="A56" s="248"/>
      <c r="B56" s="120"/>
      <c r="C56" s="112" t="s">
        <v>227</v>
      </c>
      <c r="D56" s="112" t="s">
        <v>524</v>
      </c>
      <c r="E56" s="113">
        <v>0</v>
      </c>
      <c r="F56" s="113">
        <v>0</v>
      </c>
      <c r="G56" s="113">
        <v>0</v>
      </c>
      <c r="H56" s="113">
        <f t="shared" si="24"/>
        <v>1467523</v>
      </c>
      <c r="I56" s="113">
        <v>1467523</v>
      </c>
      <c r="J56" s="113"/>
      <c r="K56" s="113"/>
      <c r="L56" s="113"/>
      <c r="M56" s="113"/>
      <c r="N56" s="113"/>
      <c r="O56" s="113">
        <v>0</v>
      </c>
      <c r="P56" s="113">
        <v>0</v>
      </c>
      <c r="Q56" s="113">
        <f>I56+N56+P56</f>
        <v>1467523</v>
      </c>
      <c r="S56" s="229"/>
    </row>
    <row r="57" spans="1:19" ht="17.25" customHeight="1" x14ac:dyDescent="0.2">
      <c r="A57" s="248" t="s">
        <v>35</v>
      </c>
      <c r="B57" s="461" t="s">
        <v>525</v>
      </c>
      <c r="C57" s="461"/>
      <c r="D57" s="247" t="s">
        <v>526</v>
      </c>
      <c r="E57" s="123">
        <f t="shared" ref="E57:Q57" si="26">SUM(E56)</f>
        <v>0</v>
      </c>
      <c r="F57" s="123">
        <f t="shared" si="26"/>
        <v>0</v>
      </c>
      <c r="G57" s="123">
        <f t="shared" si="26"/>
        <v>0</v>
      </c>
      <c r="H57" s="123">
        <f t="shared" si="24"/>
        <v>1467523</v>
      </c>
      <c r="I57" s="123">
        <f t="shared" si="26"/>
        <v>1467523</v>
      </c>
      <c r="J57" s="123">
        <f t="shared" si="26"/>
        <v>0</v>
      </c>
      <c r="K57" s="123">
        <f t="shared" si="26"/>
        <v>0</v>
      </c>
      <c r="L57" s="123">
        <f t="shared" si="26"/>
        <v>0</v>
      </c>
      <c r="M57" s="123">
        <f t="shared" si="26"/>
        <v>0</v>
      </c>
      <c r="N57" s="123">
        <f t="shared" si="26"/>
        <v>0</v>
      </c>
      <c r="O57" s="123">
        <v>0</v>
      </c>
      <c r="P57" s="123">
        <f t="shared" si="26"/>
        <v>0</v>
      </c>
      <c r="Q57" s="123">
        <f t="shared" si="26"/>
        <v>1467523</v>
      </c>
      <c r="S57" s="229"/>
    </row>
    <row r="58" spans="1:19" s="119" customFormat="1" ht="21.75" customHeight="1" x14ac:dyDescent="0.2">
      <c r="A58" s="467" t="s">
        <v>192</v>
      </c>
      <c r="B58" s="467"/>
      <c r="C58" s="467"/>
      <c r="D58" s="251" t="s">
        <v>527</v>
      </c>
      <c r="E58" s="124">
        <f t="shared" ref="E58:Q58" si="27">E53+E55+E57</f>
        <v>33048454</v>
      </c>
      <c r="F58" s="124">
        <f t="shared" si="27"/>
        <v>0</v>
      </c>
      <c r="G58" s="124">
        <f t="shared" si="27"/>
        <v>0</v>
      </c>
      <c r="H58" s="124">
        <f t="shared" si="24"/>
        <v>1467523</v>
      </c>
      <c r="I58" s="124">
        <f t="shared" si="27"/>
        <v>34515977</v>
      </c>
      <c r="J58" s="124">
        <f t="shared" si="27"/>
        <v>0</v>
      </c>
      <c r="K58" s="124">
        <f t="shared" si="27"/>
        <v>0</v>
      </c>
      <c r="L58" s="124">
        <f t="shared" si="27"/>
        <v>0</v>
      </c>
      <c r="M58" s="124">
        <f t="shared" si="27"/>
        <v>0</v>
      </c>
      <c r="N58" s="124">
        <f t="shared" si="27"/>
        <v>0</v>
      </c>
      <c r="O58" s="124">
        <f t="shared" si="27"/>
        <v>0</v>
      </c>
      <c r="P58" s="124">
        <f t="shared" si="27"/>
        <v>0</v>
      </c>
      <c r="Q58" s="124">
        <f t="shared" si="27"/>
        <v>34515977</v>
      </c>
      <c r="S58" s="231"/>
    </row>
    <row r="59" spans="1:19" s="127" customFormat="1" ht="22.5" customHeight="1" x14ac:dyDescent="0.25">
      <c r="A59" s="466" t="s">
        <v>193</v>
      </c>
      <c r="B59" s="466"/>
      <c r="C59" s="466"/>
      <c r="D59" s="250"/>
      <c r="E59" s="126">
        <f t="shared" ref="E59:Q59" si="28">E51+E58</f>
        <v>109426327</v>
      </c>
      <c r="F59" s="126">
        <f t="shared" si="28"/>
        <v>514555</v>
      </c>
      <c r="G59" s="126">
        <f t="shared" si="28"/>
        <v>34301514</v>
      </c>
      <c r="H59" s="126">
        <f t="shared" si="24"/>
        <v>58377514</v>
      </c>
      <c r="I59" s="126">
        <f t="shared" si="28"/>
        <v>202619910</v>
      </c>
      <c r="J59" s="126">
        <f t="shared" si="28"/>
        <v>9614000</v>
      </c>
      <c r="K59" s="126">
        <f t="shared" si="28"/>
        <v>0</v>
      </c>
      <c r="L59" s="126">
        <f t="shared" si="28"/>
        <v>0</v>
      </c>
      <c r="M59" s="126">
        <f t="shared" si="28"/>
        <v>7421906</v>
      </c>
      <c r="N59" s="126">
        <f t="shared" si="28"/>
        <v>17035906</v>
      </c>
      <c r="O59" s="126">
        <f t="shared" si="28"/>
        <v>0</v>
      </c>
      <c r="P59" s="126">
        <f t="shared" si="28"/>
        <v>0</v>
      </c>
      <c r="Q59" s="126">
        <f t="shared" si="28"/>
        <v>219655816</v>
      </c>
      <c r="S59" s="234"/>
    </row>
    <row r="61" spans="1:19" x14ac:dyDescent="0.2">
      <c r="D61" s="229"/>
      <c r="E61" s="244"/>
      <c r="F61" s="244"/>
      <c r="G61" s="244"/>
      <c r="H61" s="244"/>
      <c r="I61" s="244"/>
      <c r="J61" s="229"/>
      <c r="K61" s="229"/>
      <c r="L61" s="229"/>
      <c r="M61" s="229"/>
      <c r="N61" s="229"/>
      <c r="O61" s="229"/>
      <c r="P61" s="229"/>
      <c r="Q61" s="229"/>
    </row>
  </sheetData>
  <mergeCells count="33">
    <mergeCell ref="A1:Q1"/>
    <mergeCell ref="A3:Q3"/>
    <mergeCell ref="A6:A20"/>
    <mergeCell ref="B12:C12"/>
    <mergeCell ref="B19:C19"/>
    <mergeCell ref="B20:C20"/>
    <mergeCell ref="A4:C5"/>
    <mergeCell ref="J4:N4"/>
    <mergeCell ref="O4:P4"/>
    <mergeCell ref="Q4:Q5"/>
    <mergeCell ref="D4:D5"/>
    <mergeCell ref="E4:I4"/>
    <mergeCell ref="B22:C22"/>
    <mergeCell ref="B23:C23"/>
    <mergeCell ref="A25:A31"/>
    <mergeCell ref="B25:C25"/>
    <mergeCell ref="B29:C29"/>
    <mergeCell ref="B30:C30"/>
    <mergeCell ref="B31:C31"/>
    <mergeCell ref="A32:A43"/>
    <mergeCell ref="B43:C43"/>
    <mergeCell ref="A44:A47"/>
    <mergeCell ref="B47:C47"/>
    <mergeCell ref="A48:A50"/>
    <mergeCell ref="B50:C50"/>
    <mergeCell ref="A58:C58"/>
    <mergeCell ref="A59:C59"/>
    <mergeCell ref="A51:C51"/>
    <mergeCell ref="A52:A53"/>
    <mergeCell ref="B53:C53"/>
    <mergeCell ref="A54:A55"/>
    <mergeCell ref="B55:C55"/>
    <mergeCell ref="B57:C57"/>
  </mergeCells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7030A0"/>
    <pageSetUpPr fitToPage="1"/>
  </sheetPr>
  <dimension ref="A1:L35"/>
  <sheetViews>
    <sheetView zoomScaleNormal="100" zoomScaleSheetLayoutView="100" workbookViewId="0">
      <selection activeCell="F27" sqref="F27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7.85546875" customWidth="1"/>
    <col min="5" max="8" width="18.140625" customWidth="1"/>
    <col min="9" max="9" width="17.140625" customWidth="1"/>
    <col min="10" max="10" width="16.85546875" customWidth="1"/>
    <col min="11" max="11" width="11.28515625" customWidth="1"/>
    <col min="12" max="12" width="16.85546875" customWidth="1"/>
  </cols>
  <sheetData>
    <row r="1" spans="1:12" ht="21.75" customHeight="1" x14ac:dyDescent="0.2">
      <c r="A1" s="458" t="s">
        <v>461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2" ht="28.5" customHeight="1" x14ac:dyDescent="0.25">
      <c r="A2" s="488" t="s">
        <v>54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</row>
    <row r="3" spans="1:12" s="119" customFormat="1" ht="36" customHeight="1" x14ac:dyDescent="0.2">
      <c r="A3" s="465" t="s">
        <v>25</v>
      </c>
      <c r="B3" s="465"/>
      <c r="C3" s="465"/>
      <c r="D3" s="237" t="s">
        <v>478</v>
      </c>
      <c r="E3" s="109" t="s">
        <v>160</v>
      </c>
      <c r="F3" s="237" t="s">
        <v>528</v>
      </c>
      <c r="G3" s="237" t="s">
        <v>487</v>
      </c>
      <c r="H3" s="237" t="s">
        <v>488</v>
      </c>
      <c r="I3" s="110" t="s">
        <v>217</v>
      </c>
      <c r="J3" s="110" t="s">
        <v>218</v>
      </c>
      <c r="K3" s="177" t="s">
        <v>457</v>
      </c>
      <c r="L3" s="110" t="s">
        <v>456</v>
      </c>
    </row>
    <row r="4" spans="1:12" s="122" customFormat="1" ht="16.5" customHeight="1" x14ac:dyDescent="0.2">
      <c r="A4" s="487" t="s">
        <v>26</v>
      </c>
      <c r="B4" s="128"/>
      <c r="C4" s="112" t="s">
        <v>194</v>
      </c>
      <c r="D4" s="112" t="s">
        <v>529</v>
      </c>
      <c r="E4" s="113">
        <v>19165934</v>
      </c>
      <c r="F4" s="113">
        <v>194638</v>
      </c>
      <c r="G4" s="113">
        <v>498699</v>
      </c>
      <c r="H4" s="241">
        <f>I4-E4-F4-G4</f>
        <v>-1452011</v>
      </c>
      <c r="I4" s="241">
        <v>18407260</v>
      </c>
      <c r="J4" s="241">
        <v>17525688</v>
      </c>
      <c r="K4" s="241">
        <f t="shared" ref="K4:K22" si="0">J4/I4*100</f>
        <v>95.210737502485429</v>
      </c>
      <c r="L4" s="113">
        <v>14513860</v>
      </c>
    </row>
    <row r="5" spans="1:12" s="122" customFormat="1" ht="16.5" customHeight="1" x14ac:dyDescent="0.2">
      <c r="A5" s="487"/>
      <c r="B5" s="128"/>
      <c r="C5" s="112" t="s">
        <v>195</v>
      </c>
      <c r="D5" s="112" t="s">
        <v>530</v>
      </c>
      <c r="E5" s="113">
        <v>9717572</v>
      </c>
      <c r="F5" s="113">
        <v>30920</v>
      </c>
      <c r="G5" s="113">
        <v>84069</v>
      </c>
      <c r="H5" s="113">
        <f>I5-E5-F5-G5</f>
        <v>1493807</v>
      </c>
      <c r="I5" s="113">
        <v>11326368</v>
      </c>
      <c r="J5" s="113">
        <v>10896468</v>
      </c>
      <c r="K5" s="113">
        <f t="shared" si="0"/>
        <v>96.204431994439872</v>
      </c>
      <c r="L5" s="113">
        <v>11288743</v>
      </c>
    </row>
    <row r="6" spans="1:12" s="119" customFormat="1" ht="21.75" customHeight="1" x14ac:dyDescent="0.2">
      <c r="A6" s="487"/>
      <c r="B6" s="460" t="s">
        <v>196</v>
      </c>
      <c r="C6" s="460"/>
      <c r="D6" s="236" t="s">
        <v>531</v>
      </c>
      <c r="E6" s="118">
        <f>SUM(E4:E5)</f>
        <v>28883506</v>
      </c>
      <c r="F6" s="118">
        <f t="shared" ref="F6:H6" si="1">SUM(F4:F5)</f>
        <v>225558</v>
      </c>
      <c r="G6" s="118">
        <f t="shared" si="1"/>
        <v>582768</v>
      </c>
      <c r="H6" s="118">
        <f t="shared" si="1"/>
        <v>41796</v>
      </c>
      <c r="I6" s="118">
        <f>SUM(I4:I5)</f>
        <v>29733628</v>
      </c>
      <c r="J6" s="118">
        <f>SUM(J4:J5)</f>
        <v>28422156</v>
      </c>
      <c r="K6" s="118">
        <f t="shared" si="0"/>
        <v>95.589263442725525</v>
      </c>
      <c r="L6" s="118">
        <f>SUM(L4:L5)</f>
        <v>25802603</v>
      </c>
    </row>
    <row r="7" spans="1:12" s="119" customFormat="1" ht="22.5" customHeight="1" x14ac:dyDescent="0.2">
      <c r="A7" s="129" t="s">
        <v>27</v>
      </c>
      <c r="B7" s="460" t="s">
        <v>197</v>
      </c>
      <c r="C7" s="460"/>
      <c r="D7" s="236" t="s">
        <v>532</v>
      </c>
      <c r="E7" s="118">
        <v>5632283</v>
      </c>
      <c r="F7" s="118">
        <v>0</v>
      </c>
      <c r="G7" s="118">
        <v>432467</v>
      </c>
      <c r="H7" s="118">
        <f>I7-E7-F7-G7</f>
        <v>-1400020</v>
      </c>
      <c r="I7" s="118">
        <v>4664730</v>
      </c>
      <c r="J7" s="118">
        <v>4664730</v>
      </c>
      <c r="K7" s="118">
        <f t="shared" si="0"/>
        <v>100</v>
      </c>
      <c r="L7" s="118">
        <v>5064566</v>
      </c>
    </row>
    <row r="8" spans="1:12" s="122" customFormat="1" ht="13.5" customHeight="1" x14ac:dyDescent="0.2">
      <c r="A8" s="462" t="s">
        <v>28</v>
      </c>
      <c r="B8" s="128"/>
      <c r="C8" s="112" t="s">
        <v>198</v>
      </c>
      <c r="D8" s="112" t="s">
        <v>533</v>
      </c>
      <c r="E8" s="113">
        <v>9321458</v>
      </c>
      <c r="F8" s="113">
        <v>0</v>
      </c>
      <c r="G8" s="113">
        <v>0</v>
      </c>
      <c r="H8" s="113">
        <f>I8-E8-F8-G8</f>
        <v>-815438</v>
      </c>
      <c r="I8" s="113">
        <v>8506020</v>
      </c>
      <c r="J8" s="113">
        <v>8506020</v>
      </c>
      <c r="K8" s="113">
        <f t="shared" si="0"/>
        <v>100</v>
      </c>
      <c r="L8" s="113">
        <v>4571268</v>
      </c>
    </row>
    <row r="9" spans="1:12" s="122" customFormat="1" ht="13.5" customHeight="1" x14ac:dyDescent="0.2">
      <c r="A9" s="462"/>
      <c r="B9" s="128"/>
      <c r="C9" s="112" t="s">
        <v>199</v>
      </c>
      <c r="D9" s="112" t="s">
        <v>534</v>
      </c>
      <c r="E9" s="113">
        <v>1641800</v>
      </c>
      <c r="F9" s="113">
        <v>228316</v>
      </c>
      <c r="G9" s="113">
        <v>0</v>
      </c>
      <c r="H9" s="113">
        <f t="shared" ref="H9:H12" si="2">I9-E9-F9-G9</f>
        <v>-363127</v>
      </c>
      <c r="I9" s="113">
        <v>1506989</v>
      </c>
      <c r="J9" s="113">
        <v>1506989</v>
      </c>
      <c r="K9" s="113">
        <f t="shared" si="0"/>
        <v>100</v>
      </c>
      <c r="L9" s="113">
        <v>1519497</v>
      </c>
    </row>
    <row r="10" spans="1:12" s="122" customFormat="1" ht="13.5" customHeight="1" x14ac:dyDescent="0.2">
      <c r="A10" s="462"/>
      <c r="B10" s="128"/>
      <c r="C10" s="112" t="s">
        <v>200</v>
      </c>
      <c r="D10" s="112" t="s">
        <v>535</v>
      </c>
      <c r="E10" s="113">
        <v>28890000</v>
      </c>
      <c r="F10" s="113">
        <v>990159</v>
      </c>
      <c r="G10" s="113">
        <v>630631</v>
      </c>
      <c r="H10" s="113">
        <f t="shared" si="2"/>
        <v>1278009</v>
      </c>
      <c r="I10" s="113">
        <v>31788799</v>
      </c>
      <c r="J10" s="113">
        <v>31627991</v>
      </c>
      <c r="K10" s="113">
        <f t="shared" si="0"/>
        <v>99.494136283663934</v>
      </c>
      <c r="L10" s="113">
        <v>27702083</v>
      </c>
    </row>
    <row r="11" spans="1:12" s="122" customFormat="1" ht="13.5" customHeight="1" x14ac:dyDescent="0.2">
      <c r="A11" s="462"/>
      <c r="B11" s="128"/>
      <c r="C11" s="112" t="s">
        <v>459</v>
      </c>
      <c r="D11" s="112" t="s">
        <v>536</v>
      </c>
      <c r="E11" s="113">
        <v>0</v>
      </c>
      <c r="F11" s="113">
        <v>0</v>
      </c>
      <c r="G11" s="113">
        <v>0</v>
      </c>
      <c r="H11" s="113">
        <f t="shared" si="2"/>
        <v>75000</v>
      </c>
      <c r="I11" s="113">
        <v>75000</v>
      </c>
      <c r="J11" s="113">
        <v>75000</v>
      </c>
      <c r="K11" s="113">
        <f t="shared" si="0"/>
        <v>100</v>
      </c>
      <c r="L11" s="113">
        <v>0</v>
      </c>
    </row>
    <row r="12" spans="1:12" s="122" customFormat="1" ht="13.5" customHeight="1" x14ac:dyDescent="0.2">
      <c r="A12" s="462"/>
      <c r="B12" s="128"/>
      <c r="C12" s="112" t="s">
        <v>201</v>
      </c>
      <c r="D12" s="112" t="s">
        <v>537</v>
      </c>
      <c r="E12" s="113">
        <v>11249715</v>
      </c>
      <c r="F12" s="113">
        <v>535930</v>
      </c>
      <c r="G12" s="113">
        <v>279053</v>
      </c>
      <c r="H12" s="113">
        <f t="shared" si="2"/>
        <v>3929745</v>
      </c>
      <c r="I12" s="113">
        <v>15994443</v>
      </c>
      <c r="J12" s="113">
        <v>15994368</v>
      </c>
      <c r="K12" s="113">
        <f t="shared" si="0"/>
        <v>99.999531087140696</v>
      </c>
      <c r="L12" s="113">
        <v>12830240</v>
      </c>
    </row>
    <row r="13" spans="1:12" s="119" customFormat="1" ht="19.5" customHeight="1" x14ac:dyDescent="0.2">
      <c r="A13" s="462"/>
      <c r="B13" s="460" t="s">
        <v>202</v>
      </c>
      <c r="C13" s="460"/>
      <c r="D13" s="236" t="s">
        <v>538</v>
      </c>
      <c r="E13" s="118">
        <f>SUM(E8:E12)</f>
        <v>51102973</v>
      </c>
      <c r="F13" s="118">
        <f t="shared" ref="F13:H13" si="3">SUM(F8:F12)</f>
        <v>1754405</v>
      </c>
      <c r="G13" s="118">
        <f t="shared" si="3"/>
        <v>909684</v>
      </c>
      <c r="H13" s="118">
        <f t="shared" si="3"/>
        <v>4104189</v>
      </c>
      <c r="I13" s="118">
        <f>SUM(I8:I12)</f>
        <v>57871251</v>
      </c>
      <c r="J13" s="118">
        <f>SUM(J8:J12)</f>
        <v>57710368</v>
      </c>
      <c r="K13" s="118">
        <f t="shared" si="0"/>
        <v>99.721998406428085</v>
      </c>
      <c r="L13" s="118">
        <f>SUM(L8:L12)</f>
        <v>46623088</v>
      </c>
    </row>
    <row r="14" spans="1:12" s="119" customFormat="1" ht="25.5" customHeight="1" x14ac:dyDescent="0.2">
      <c r="A14" s="130" t="s">
        <v>29</v>
      </c>
      <c r="B14" s="460" t="s">
        <v>57</v>
      </c>
      <c r="C14" s="460"/>
      <c r="D14" s="236" t="s">
        <v>539</v>
      </c>
      <c r="E14" s="118">
        <v>6336158</v>
      </c>
      <c r="F14" s="118">
        <v>0</v>
      </c>
      <c r="G14" s="118">
        <v>94500</v>
      </c>
      <c r="H14" s="118">
        <f>I14-E14-F14-G14</f>
        <v>533925</v>
      </c>
      <c r="I14" s="118">
        <v>6964583</v>
      </c>
      <c r="J14" s="118">
        <v>6964583</v>
      </c>
      <c r="K14" s="118">
        <f t="shared" si="0"/>
        <v>100</v>
      </c>
      <c r="L14" s="118">
        <v>10500604</v>
      </c>
    </row>
    <row r="15" spans="1:12" s="119" customFormat="1" ht="25.5" customHeight="1" x14ac:dyDescent="0.2">
      <c r="A15" s="130" t="s">
        <v>30</v>
      </c>
      <c r="B15" s="460" t="s">
        <v>203</v>
      </c>
      <c r="C15" s="460"/>
      <c r="D15" s="236" t="s">
        <v>540</v>
      </c>
      <c r="E15" s="118">
        <v>0</v>
      </c>
      <c r="F15" s="118">
        <v>228000</v>
      </c>
      <c r="G15" s="118">
        <v>0</v>
      </c>
      <c r="H15" s="118">
        <f>I15-E15-F15-G15</f>
        <v>0</v>
      </c>
      <c r="I15" s="118">
        <v>228000</v>
      </c>
      <c r="J15" s="118">
        <v>228000</v>
      </c>
      <c r="K15" s="118">
        <f t="shared" si="0"/>
        <v>100</v>
      </c>
      <c r="L15" s="118">
        <v>368460</v>
      </c>
    </row>
    <row r="16" spans="1:12" x14ac:dyDescent="0.2">
      <c r="A16" s="462" t="s">
        <v>32</v>
      </c>
      <c r="B16" s="128"/>
      <c r="C16" s="112" t="s">
        <v>204</v>
      </c>
      <c r="D16" s="112" t="s">
        <v>541</v>
      </c>
      <c r="E16" s="113">
        <v>8138775</v>
      </c>
      <c r="F16" s="113">
        <v>0</v>
      </c>
      <c r="G16" s="113">
        <v>0</v>
      </c>
      <c r="H16" s="113">
        <f>I16-E16-F16-G16</f>
        <v>1497106</v>
      </c>
      <c r="I16" s="113">
        <v>9635881</v>
      </c>
      <c r="J16" s="113">
        <v>9635881</v>
      </c>
      <c r="K16" s="113">
        <f t="shared" si="0"/>
        <v>100</v>
      </c>
      <c r="L16" s="113">
        <v>9310023</v>
      </c>
    </row>
    <row r="17" spans="1:12" x14ac:dyDescent="0.2">
      <c r="A17" s="462"/>
      <c r="B17" s="128"/>
      <c r="C17" s="112" t="s">
        <v>205</v>
      </c>
      <c r="D17" s="112" t="s">
        <v>542</v>
      </c>
      <c r="E17" s="113">
        <v>2923530</v>
      </c>
      <c r="F17" s="113">
        <v>0</v>
      </c>
      <c r="G17" s="113">
        <v>0</v>
      </c>
      <c r="H17" s="113">
        <f t="shared" ref="H17:H18" si="4">I17-E17-F17-G17</f>
        <v>-115400</v>
      </c>
      <c r="I17" s="113">
        <v>2808130</v>
      </c>
      <c r="J17" s="113">
        <v>2808130</v>
      </c>
      <c r="K17" s="113">
        <f t="shared" si="0"/>
        <v>100</v>
      </c>
      <c r="L17" s="113">
        <v>2425866</v>
      </c>
    </row>
    <row r="18" spans="1:12" x14ac:dyDescent="0.2">
      <c r="A18" s="462"/>
      <c r="B18" s="128"/>
      <c r="C18" s="112" t="s">
        <v>61</v>
      </c>
      <c r="D18" s="112" t="s">
        <v>543</v>
      </c>
      <c r="E18" s="113">
        <v>5040000</v>
      </c>
      <c r="F18" s="113">
        <v>-2370880</v>
      </c>
      <c r="G18" s="113">
        <v>12521735</v>
      </c>
      <c r="H18" s="113">
        <f t="shared" si="4"/>
        <v>59138479</v>
      </c>
      <c r="I18" s="113">
        <v>74329334</v>
      </c>
      <c r="J18" s="113">
        <v>0</v>
      </c>
      <c r="K18" s="113">
        <f t="shared" si="0"/>
        <v>0</v>
      </c>
      <c r="L18" s="113">
        <v>0</v>
      </c>
    </row>
    <row r="19" spans="1:12" ht="25.5" customHeight="1" x14ac:dyDescent="0.2">
      <c r="A19" s="462"/>
      <c r="B19" s="460" t="s">
        <v>206</v>
      </c>
      <c r="C19" s="460"/>
      <c r="D19" s="236" t="s">
        <v>544</v>
      </c>
      <c r="E19" s="118">
        <f>SUM(E16:E18)+E15</f>
        <v>16102305</v>
      </c>
      <c r="F19" s="118">
        <f t="shared" ref="F19:H19" si="5">SUM(F16:F18)+F15</f>
        <v>-2142880</v>
      </c>
      <c r="G19" s="118">
        <f t="shared" si="5"/>
        <v>12521735</v>
      </c>
      <c r="H19" s="118">
        <f t="shared" si="5"/>
        <v>60520185</v>
      </c>
      <c r="I19" s="118">
        <f>SUM(I16:I18)+I15</f>
        <v>87001345</v>
      </c>
      <c r="J19" s="118">
        <f>SUM(J16:J18)+J15</f>
        <v>12672011</v>
      </c>
      <c r="K19" s="118">
        <f t="shared" si="0"/>
        <v>14.565304708795018</v>
      </c>
      <c r="L19" s="118">
        <f>SUM(L16:L18)+L15</f>
        <v>12104349</v>
      </c>
    </row>
    <row r="20" spans="1:12" s="131" customFormat="1" ht="19.5" customHeight="1" x14ac:dyDescent="0.2">
      <c r="A20" s="129" t="s">
        <v>34</v>
      </c>
      <c r="B20" s="460" t="s">
        <v>207</v>
      </c>
      <c r="C20" s="460"/>
      <c r="D20" s="236" t="s">
        <v>545</v>
      </c>
      <c r="E20" s="118">
        <v>1737465</v>
      </c>
      <c r="F20" s="118">
        <v>561987</v>
      </c>
      <c r="G20" s="118">
        <v>19760360</v>
      </c>
      <c r="H20" s="118">
        <f>I20-E20-F20-G20</f>
        <v>1505914</v>
      </c>
      <c r="I20" s="118">
        <v>23565726</v>
      </c>
      <c r="J20" s="118">
        <v>23565726</v>
      </c>
      <c r="K20" s="118">
        <f t="shared" si="0"/>
        <v>100</v>
      </c>
      <c r="L20" s="118">
        <v>22100352</v>
      </c>
    </row>
    <row r="21" spans="1:12" s="131" customFormat="1" ht="19.5" customHeight="1" x14ac:dyDescent="0.2">
      <c r="A21" s="129" t="s">
        <v>34</v>
      </c>
      <c r="B21" s="460" t="s">
        <v>228</v>
      </c>
      <c r="C21" s="460"/>
      <c r="D21" s="236" t="s">
        <v>547</v>
      </c>
      <c r="E21" s="118">
        <v>0</v>
      </c>
      <c r="F21" s="118">
        <v>0</v>
      </c>
      <c r="G21" s="118">
        <v>0</v>
      </c>
      <c r="H21" s="118">
        <f>I21-F21-G21</f>
        <v>0</v>
      </c>
      <c r="I21" s="118">
        <v>0</v>
      </c>
      <c r="J21" s="118">
        <v>0</v>
      </c>
      <c r="K21" s="118">
        <v>0</v>
      </c>
      <c r="L21" s="118">
        <v>0</v>
      </c>
    </row>
    <row r="22" spans="1:12" s="131" customFormat="1" ht="18.75" customHeight="1" x14ac:dyDescent="0.2">
      <c r="A22" s="129" t="s">
        <v>35</v>
      </c>
      <c r="B22" s="460" t="s">
        <v>99</v>
      </c>
      <c r="C22" s="460"/>
      <c r="D22" s="236" t="s">
        <v>546</v>
      </c>
      <c r="E22" s="118">
        <v>1388250</v>
      </c>
      <c r="F22" s="118">
        <v>-44684</v>
      </c>
      <c r="G22" s="118">
        <v>0</v>
      </c>
      <c r="H22" s="118">
        <f>I22-E22-F22-G22</f>
        <v>408725</v>
      </c>
      <c r="I22" s="118">
        <v>1752291</v>
      </c>
      <c r="J22" s="118">
        <v>1752291</v>
      </c>
      <c r="K22" s="118">
        <f t="shared" si="0"/>
        <v>100</v>
      </c>
      <c r="L22" s="118">
        <v>1048729</v>
      </c>
    </row>
    <row r="23" spans="1:12" ht="25.5" x14ac:dyDescent="0.2">
      <c r="A23" s="487" t="s">
        <v>36</v>
      </c>
      <c r="B23" s="128"/>
      <c r="C23" s="235" t="s">
        <v>208</v>
      </c>
      <c r="D23" s="235" t="s">
        <v>548</v>
      </c>
      <c r="E23" s="113">
        <v>5705751</v>
      </c>
      <c r="F23" s="113">
        <v>160169</v>
      </c>
      <c r="G23" s="113">
        <v>0</v>
      </c>
      <c r="H23" s="113">
        <f>I23-E23-F23-G23</f>
        <v>84700</v>
      </c>
      <c r="I23" s="113">
        <v>5950620</v>
      </c>
      <c r="J23" s="113">
        <v>5950620</v>
      </c>
      <c r="K23" s="113">
        <v>0</v>
      </c>
      <c r="L23" s="113">
        <v>31082526</v>
      </c>
    </row>
    <row r="24" spans="1:12" ht="25.5" x14ac:dyDescent="0.2">
      <c r="A24" s="487"/>
      <c r="B24" s="128"/>
      <c r="C24" s="112" t="s">
        <v>209</v>
      </c>
      <c r="D24" s="112" t="s">
        <v>550</v>
      </c>
      <c r="E24" s="113">
        <v>0</v>
      </c>
      <c r="F24" s="113">
        <v>0</v>
      </c>
      <c r="G24" s="113">
        <v>0</v>
      </c>
      <c r="H24" s="113">
        <f t="shared" ref="H24:H25" si="6">I24-E24-F24-G24</f>
        <v>0</v>
      </c>
      <c r="I24" s="113">
        <v>0</v>
      </c>
      <c r="J24" s="113">
        <v>0</v>
      </c>
      <c r="K24" s="113">
        <v>0</v>
      </c>
      <c r="L24" s="113">
        <v>0</v>
      </c>
    </row>
    <row r="25" spans="1:12" x14ac:dyDescent="0.2">
      <c r="A25" s="487"/>
      <c r="B25" s="128"/>
      <c r="C25" s="112" t="s">
        <v>210</v>
      </c>
      <c r="D25" s="112" t="s">
        <v>551</v>
      </c>
      <c r="E25" s="113">
        <v>978000</v>
      </c>
      <c r="F25" s="113">
        <v>0</v>
      </c>
      <c r="G25" s="113">
        <v>0</v>
      </c>
      <c r="H25" s="113">
        <f t="shared" si="6"/>
        <v>6</v>
      </c>
      <c r="I25" s="113">
        <v>978006</v>
      </c>
      <c r="J25" s="113">
        <v>978006</v>
      </c>
      <c r="K25" s="113">
        <f>J25/I25*100</f>
        <v>100</v>
      </c>
      <c r="L25" s="113">
        <v>1168027</v>
      </c>
    </row>
    <row r="26" spans="1:12" s="119" customFormat="1" ht="25.5" customHeight="1" x14ac:dyDescent="0.2">
      <c r="A26" s="487"/>
      <c r="B26" s="460" t="s">
        <v>211</v>
      </c>
      <c r="C26" s="460"/>
      <c r="D26" s="236" t="s">
        <v>549</v>
      </c>
      <c r="E26" s="118">
        <f>SUM(E23:E25)</f>
        <v>6683751</v>
      </c>
      <c r="F26" s="118">
        <f t="shared" ref="F26:H26" si="7">SUM(F23:F25)</f>
        <v>160169</v>
      </c>
      <c r="G26" s="118">
        <f t="shared" si="7"/>
        <v>0</v>
      </c>
      <c r="H26" s="118">
        <f t="shared" si="7"/>
        <v>84706</v>
      </c>
      <c r="I26" s="118">
        <f>SUM(I23:I25)</f>
        <v>6928626</v>
      </c>
      <c r="J26" s="118">
        <f>SUM(J23:J25)</f>
        <v>6928626</v>
      </c>
      <c r="K26" s="118">
        <f>J26/I26*100</f>
        <v>100</v>
      </c>
      <c r="L26" s="118">
        <f>SUM(L23:L25)</f>
        <v>32250553</v>
      </c>
    </row>
    <row r="27" spans="1:12" s="119" customFormat="1" ht="25.5" customHeight="1" x14ac:dyDescent="0.2">
      <c r="A27" s="467" t="s">
        <v>212</v>
      </c>
      <c r="B27" s="467"/>
      <c r="C27" s="467"/>
      <c r="D27" s="238" t="s">
        <v>552</v>
      </c>
      <c r="E27" s="124">
        <f>E6+E7+E13+E14+E19+E20+E22+E26+E21</f>
        <v>117866691</v>
      </c>
      <c r="F27" s="124">
        <f t="shared" ref="F27:H27" si="8">F6+F7+F13+F14+F19+F20+F22+F26+F21</f>
        <v>514555</v>
      </c>
      <c r="G27" s="124">
        <f t="shared" si="8"/>
        <v>34301514</v>
      </c>
      <c r="H27" s="124">
        <f t="shared" si="8"/>
        <v>65799420</v>
      </c>
      <c r="I27" s="124">
        <f>I6+I7+I13+I14+I19+I20+I22+I26+I21</f>
        <v>218482180</v>
      </c>
      <c r="J27" s="124">
        <f>J6+J7+J13+J14+J19+J20+J22+J26+J21</f>
        <v>142680491</v>
      </c>
      <c r="K27" s="124">
        <f>J27/I27*100</f>
        <v>65.305321926026181</v>
      </c>
      <c r="L27" s="124">
        <f>L6+L7+L13+L14+L19+L20+L22+L26+L21</f>
        <v>155494844</v>
      </c>
    </row>
    <row r="28" spans="1:12" s="131" customFormat="1" ht="18.75" customHeight="1" x14ac:dyDescent="0.2">
      <c r="A28" s="166" t="s">
        <v>235</v>
      </c>
      <c r="B28" s="460" t="s">
        <v>236</v>
      </c>
      <c r="C28" s="460"/>
      <c r="D28" s="236" t="s">
        <v>556</v>
      </c>
      <c r="E28" s="118">
        <f>SUM(E29)</f>
        <v>0</v>
      </c>
      <c r="F28" s="118">
        <f t="shared" ref="F28:H28" si="9">SUM(F29)</f>
        <v>0</v>
      </c>
      <c r="G28" s="118">
        <f t="shared" si="9"/>
        <v>0</v>
      </c>
      <c r="H28" s="118">
        <f t="shared" si="9"/>
        <v>0</v>
      </c>
      <c r="I28" s="118">
        <f>SUM(I29)</f>
        <v>0</v>
      </c>
      <c r="J28" s="118">
        <f>SUM(J29)</f>
        <v>0</v>
      </c>
      <c r="K28" s="118">
        <v>0</v>
      </c>
      <c r="L28" s="118">
        <f>SUM(L29)</f>
        <v>0</v>
      </c>
    </row>
    <row r="29" spans="1:12" x14ac:dyDescent="0.2">
      <c r="A29" s="167"/>
      <c r="B29" s="128">
        <v>1</v>
      </c>
      <c r="C29" s="112" t="s">
        <v>236</v>
      </c>
      <c r="D29" s="112" t="s">
        <v>556</v>
      </c>
      <c r="E29" s="113">
        <v>0</v>
      </c>
      <c r="F29" s="113">
        <v>0</v>
      </c>
      <c r="G29" s="113">
        <v>0</v>
      </c>
      <c r="H29" s="113">
        <f>I29-E29-F29-G29</f>
        <v>0</v>
      </c>
      <c r="I29" s="113">
        <v>0</v>
      </c>
      <c r="J29" s="113">
        <v>0</v>
      </c>
      <c r="K29" s="113">
        <v>0</v>
      </c>
      <c r="L29" s="113">
        <v>0</v>
      </c>
    </row>
    <row r="30" spans="1:12" x14ac:dyDescent="0.2">
      <c r="A30" s="481" t="s">
        <v>37</v>
      </c>
      <c r="B30" s="128"/>
      <c r="C30" s="112" t="s">
        <v>213</v>
      </c>
      <c r="D30" s="112" t="s">
        <v>553</v>
      </c>
      <c r="E30" s="113">
        <v>1173636</v>
      </c>
      <c r="F30" s="113">
        <v>0</v>
      </c>
      <c r="G30" s="113">
        <v>0</v>
      </c>
      <c r="H30" s="113">
        <f t="shared" ref="H30:H31" si="10">I30-E30-F30-G30</f>
        <v>0</v>
      </c>
      <c r="I30" s="113">
        <v>1173636</v>
      </c>
      <c r="J30" s="113">
        <v>1173636</v>
      </c>
      <c r="K30" s="175">
        <f t="shared" ref="K30" si="11">J30/I30*100</f>
        <v>100</v>
      </c>
      <c r="L30" s="113">
        <v>1167757</v>
      </c>
    </row>
    <row r="31" spans="1:12" x14ac:dyDescent="0.2">
      <c r="A31" s="482"/>
      <c r="B31" s="128"/>
      <c r="C31" s="112" t="s">
        <v>214</v>
      </c>
      <c r="D31" s="112" t="s">
        <v>554</v>
      </c>
      <c r="E31" s="113">
        <v>0</v>
      </c>
      <c r="F31" s="113">
        <v>0</v>
      </c>
      <c r="G31" s="113">
        <v>0</v>
      </c>
      <c r="H31" s="113">
        <f t="shared" si="10"/>
        <v>0</v>
      </c>
      <c r="I31" s="113">
        <v>0</v>
      </c>
      <c r="J31" s="113">
        <v>0</v>
      </c>
      <c r="K31" s="175">
        <v>0</v>
      </c>
      <c r="L31" s="113">
        <v>0</v>
      </c>
    </row>
    <row r="32" spans="1:12" s="119" customFormat="1" ht="22.5" customHeight="1" x14ac:dyDescent="0.2">
      <c r="A32" s="483" t="s">
        <v>215</v>
      </c>
      <c r="B32" s="484"/>
      <c r="C32" s="485"/>
      <c r="D32" s="239" t="s">
        <v>555</v>
      </c>
      <c r="E32" s="124">
        <f>SUM(E30:E31)+E28</f>
        <v>1173636</v>
      </c>
      <c r="F32" s="124">
        <f>SUM(F30:F31)+F28</f>
        <v>0</v>
      </c>
      <c r="G32" s="124">
        <f t="shared" ref="G32:H32" si="12">SUM(G30:G31)+G28</f>
        <v>0</v>
      </c>
      <c r="H32" s="124">
        <f t="shared" si="12"/>
        <v>0</v>
      </c>
      <c r="I32" s="124">
        <f>SUM(I30:I31)+I28</f>
        <v>1173636</v>
      </c>
      <c r="J32" s="124">
        <f>SUM(J30:J31)+J28</f>
        <v>1173636</v>
      </c>
      <c r="K32" s="124">
        <f>J32/I32*100</f>
        <v>100</v>
      </c>
      <c r="L32" s="124">
        <f>SUM(L30:L31)+L28</f>
        <v>1167757</v>
      </c>
    </row>
    <row r="33" spans="1:12" s="117" customFormat="1" ht="22.5" customHeight="1" x14ac:dyDescent="0.2">
      <c r="A33" s="486" t="s">
        <v>216</v>
      </c>
      <c r="B33" s="486"/>
      <c r="C33" s="486"/>
      <c r="D33" s="240"/>
      <c r="E33" s="132">
        <f>E27+E32</f>
        <v>119040327</v>
      </c>
      <c r="F33" s="132">
        <f t="shared" ref="F33:H33" si="13">F27+F32</f>
        <v>514555</v>
      </c>
      <c r="G33" s="132">
        <f t="shared" si="13"/>
        <v>34301514</v>
      </c>
      <c r="H33" s="132">
        <f t="shared" si="13"/>
        <v>65799420</v>
      </c>
      <c r="I33" s="132">
        <f>I27+I32</f>
        <v>219655816</v>
      </c>
      <c r="J33" s="132">
        <f>J27+J32</f>
        <v>143854127</v>
      </c>
      <c r="K33" s="132">
        <f>J33/I33*100</f>
        <v>65.490697956297225</v>
      </c>
      <c r="L33" s="132">
        <f>L27+L32</f>
        <v>156662601</v>
      </c>
    </row>
    <row r="35" spans="1:12" x14ac:dyDescent="0.2">
      <c r="G35" s="229"/>
      <c r="H35" s="229"/>
      <c r="I35" s="229"/>
      <c r="J35" s="229"/>
      <c r="K35" s="229"/>
    </row>
  </sheetData>
  <mergeCells count="22">
    <mergeCell ref="A3:C3"/>
    <mergeCell ref="A4:A6"/>
    <mergeCell ref="B6:C6"/>
    <mergeCell ref="A1:L1"/>
    <mergeCell ref="A2:L2"/>
    <mergeCell ref="A16:A19"/>
    <mergeCell ref="B19:C19"/>
    <mergeCell ref="B20:C20"/>
    <mergeCell ref="B7:C7"/>
    <mergeCell ref="A8:A13"/>
    <mergeCell ref="B13:C13"/>
    <mergeCell ref="B14:C14"/>
    <mergeCell ref="B15:C15"/>
    <mergeCell ref="B21:C21"/>
    <mergeCell ref="A30:A31"/>
    <mergeCell ref="A32:C32"/>
    <mergeCell ref="A33:C33"/>
    <mergeCell ref="B22:C22"/>
    <mergeCell ref="A23:A26"/>
    <mergeCell ref="B26:C26"/>
    <mergeCell ref="A27:C27"/>
    <mergeCell ref="B28:C28"/>
  </mergeCells>
  <phoneticPr fontId="0" type="noConversion"/>
  <printOptions horizontalCentered="1"/>
  <pageMargins left="0.22" right="0.16" top="0.39370078740157483" bottom="0.45" header="0.19685039370078741" footer="0.19685039370078741"/>
  <pageSetup paperSize="9" scale="72" firstPageNumber="41" fitToHeight="0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39"/>
  <sheetViews>
    <sheetView workbookViewId="0">
      <selection activeCell="Q2" sqref="Q2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7.85546875" customWidth="1"/>
    <col min="5" max="14" width="12.7109375" customWidth="1"/>
    <col min="15" max="16" width="10.7109375" customWidth="1"/>
    <col min="17" max="17" width="17.140625" customWidth="1"/>
  </cols>
  <sheetData>
    <row r="1" spans="1:19" ht="21.75" customHeight="1" x14ac:dyDescent="0.2">
      <c r="A1" s="458" t="s">
        <v>728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</row>
    <row r="2" spans="1:19" ht="21.75" customHeight="1" x14ac:dyDescent="0.2">
      <c r="A2" s="457"/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1" t="s">
        <v>737</v>
      </c>
    </row>
    <row r="3" spans="1:19" ht="28.5" customHeight="1" x14ac:dyDescent="0.25">
      <c r="A3" s="488" t="s">
        <v>54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</row>
    <row r="4" spans="1:19" s="119" customFormat="1" ht="36" customHeight="1" x14ac:dyDescent="0.2">
      <c r="A4" s="468" t="s">
        <v>25</v>
      </c>
      <c r="B4" s="469"/>
      <c r="C4" s="470"/>
      <c r="D4" s="479" t="s">
        <v>478</v>
      </c>
      <c r="E4" s="489" t="s">
        <v>727</v>
      </c>
      <c r="F4" s="491"/>
      <c r="G4" s="491"/>
      <c r="H4" s="491"/>
      <c r="I4" s="491"/>
      <c r="J4" s="489" t="s">
        <v>729</v>
      </c>
      <c r="K4" s="491"/>
      <c r="L4" s="491"/>
      <c r="M4" s="491"/>
      <c r="N4" s="490"/>
      <c r="O4" s="489" t="s">
        <v>731</v>
      </c>
      <c r="P4" s="490"/>
      <c r="Q4" s="479" t="s">
        <v>150</v>
      </c>
      <c r="S4" s="231"/>
    </row>
    <row r="5" spans="1:19" s="119" customFormat="1" ht="36" customHeight="1" x14ac:dyDescent="0.2">
      <c r="A5" s="471"/>
      <c r="B5" s="472"/>
      <c r="C5" s="473"/>
      <c r="D5" s="480"/>
      <c r="E5" s="447" t="s">
        <v>160</v>
      </c>
      <c r="F5" s="447" t="s">
        <v>528</v>
      </c>
      <c r="G5" s="447" t="s">
        <v>487</v>
      </c>
      <c r="H5" s="447" t="s">
        <v>488</v>
      </c>
      <c r="I5" s="449" t="s">
        <v>730</v>
      </c>
      <c r="J5" s="448" t="s">
        <v>160</v>
      </c>
      <c r="K5" s="448" t="s">
        <v>528</v>
      </c>
      <c r="L5" s="448" t="s">
        <v>487</v>
      </c>
      <c r="M5" s="448" t="s">
        <v>488</v>
      </c>
      <c r="N5" s="449" t="s">
        <v>730</v>
      </c>
      <c r="O5" s="110" t="s">
        <v>732</v>
      </c>
      <c r="P5" s="110" t="s">
        <v>733</v>
      </c>
      <c r="Q5" s="480"/>
      <c r="S5" s="231"/>
    </row>
    <row r="6" spans="1:19" s="122" customFormat="1" ht="16.5" customHeight="1" x14ac:dyDescent="0.2">
      <c r="A6" s="487" t="s">
        <v>26</v>
      </c>
      <c r="B6" s="128"/>
      <c r="C6" s="112" t="s">
        <v>194</v>
      </c>
      <c r="D6" s="112" t="s">
        <v>529</v>
      </c>
      <c r="E6" s="113">
        <v>19165934</v>
      </c>
      <c r="F6" s="113">
        <v>194638</v>
      </c>
      <c r="G6" s="113">
        <v>498699</v>
      </c>
      <c r="H6" s="241">
        <f>I6-E6-F6-G6</f>
        <v>-1452011</v>
      </c>
      <c r="I6" s="450">
        <v>18407260</v>
      </c>
      <c r="J6" s="241">
        <v>0</v>
      </c>
      <c r="K6" s="241">
        <v>0</v>
      </c>
      <c r="L6" s="241">
        <v>0</v>
      </c>
      <c r="M6" s="241">
        <v>0</v>
      </c>
      <c r="N6" s="241">
        <f>SUM(J6:M6)</f>
        <v>0</v>
      </c>
      <c r="O6" s="241">
        <v>0</v>
      </c>
      <c r="P6" s="241">
        <v>0</v>
      </c>
      <c r="Q6" s="241">
        <f>I6+N6+P6</f>
        <v>18407260</v>
      </c>
      <c r="S6" s="232"/>
    </row>
    <row r="7" spans="1:19" s="122" customFormat="1" ht="16.5" customHeight="1" x14ac:dyDescent="0.2">
      <c r="A7" s="487"/>
      <c r="B7" s="128"/>
      <c r="C7" s="112" t="s">
        <v>195</v>
      </c>
      <c r="D7" s="112" t="s">
        <v>530</v>
      </c>
      <c r="E7" s="113">
        <v>9717572</v>
      </c>
      <c r="F7" s="113">
        <v>30920</v>
      </c>
      <c r="G7" s="113">
        <v>84069</v>
      </c>
      <c r="H7" s="113">
        <f>I7-E7-F7-G7</f>
        <v>1493807</v>
      </c>
      <c r="I7" s="451">
        <v>11326368</v>
      </c>
      <c r="J7" s="113">
        <v>0</v>
      </c>
      <c r="K7" s="113">
        <v>0</v>
      </c>
      <c r="L7" s="113">
        <v>0</v>
      </c>
      <c r="M7" s="113">
        <v>0</v>
      </c>
      <c r="N7" s="241">
        <f>SUM(J7:M7)</f>
        <v>0</v>
      </c>
      <c r="O7" s="113">
        <v>0</v>
      </c>
      <c r="P7" s="113">
        <v>0</v>
      </c>
      <c r="Q7" s="241">
        <f>I7+N7+P7</f>
        <v>11326368</v>
      </c>
      <c r="S7" s="232"/>
    </row>
    <row r="8" spans="1:19" s="119" customFormat="1" ht="21.75" customHeight="1" x14ac:dyDescent="0.2">
      <c r="A8" s="487"/>
      <c r="B8" s="460" t="s">
        <v>196</v>
      </c>
      <c r="C8" s="460"/>
      <c r="D8" s="252" t="s">
        <v>531</v>
      </c>
      <c r="E8" s="118">
        <f>SUM(E6:E7)</f>
        <v>28883506</v>
      </c>
      <c r="F8" s="118">
        <f t="shared" ref="F8:H8" si="0">SUM(F6:F7)</f>
        <v>225558</v>
      </c>
      <c r="G8" s="118">
        <f t="shared" si="0"/>
        <v>582768</v>
      </c>
      <c r="H8" s="118">
        <f t="shared" si="0"/>
        <v>41796</v>
      </c>
      <c r="I8" s="452">
        <f>SUM(I6:I7)</f>
        <v>29733628</v>
      </c>
      <c r="J8" s="452">
        <f t="shared" ref="J8:N8" si="1">SUM(J6:J7)</f>
        <v>0</v>
      </c>
      <c r="K8" s="452">
        <f t="shared" si="1"/>
        <v>0</v>
      </c>
      <c r="L8" s="452">
        <f t="shared" si="1"/>
        <v>0</v>
      </c>
      <c r="M8" s="452">
        <f t="shared" si="1"/>
        <v>0</v>
      </c>
      <c r="N8" s="452">
        <f t="shared" si="1"/>
        <v>0</v>
      </c>
      <c r="O8" s="118">
        <f>SUM(O6:O7)</f>
        <v>0</v>
      </c>
      <c r="P8" s="118">
        <f>SUM(P6:P7)</f>
        <v>0</v>
      </c>
      <c r="Q8" s="118">
        <f>SUM(Q6:Q7)</f>
        <v>29733628</v>
      </c>
      <c r="S8" s="231"/>
    </row>
    <row r="9" spans="1:19" s="119" customFormat="1" ht="22.5" customHeight="1" x14ac:dyDescent="0.2">
      <c r="A9" s="129" t="s">
        <v>27</v>
      </c>
      <c r="B9" s="460" t="s">
        <v>197</v>
      </c>
      <c r="C9" s="460"/>
      <c r="D9" s="252" t="s">
        <v>532</v>
      </c>
      <c r="E9" s="118">
        <v>5632283</v>
      </c>
      <c r="F9" s="118">
        <v>0</v>
      </c>
      <c r="G9" s="118">
        <v>432467</v>
      </c>
      <c r="H9" s="118">
        <f>I9-E9-F9-G9</f>
        <v>-1400020</v>
      </c>
      <c r="I9" s="452">
        <v>4664730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f>I9+N9+P9</f>
        <v>4664730</v>
      </c>
      <c r="S9" s="231"/>
    </row>
    <row r="10" spans="1:19" s="122" customFormat="1" ht="13.5" customHeight="1" x14ac:dyDescent="0.2">
      <c r="A10" s="462" t="s">
        <v>28</v>
      </c>
      <c r="B10" s="128"/>
      <c r="C10" s="112" t="s">
        <v>198</v>
      </c>
      <c r="D10" s="112" t="s">
        <v>533</v>
      </c>
      <c r="E10" s="113">
        <v>9321458</v>
      </c>
      <c r="F10" s="113">
        <v>0</v>
      </c>
      <c r="G10" s="113">
        <v>0</v>
      </c>
      <c r="H10" s="113">
        <f>I10-E10-F10-G10</f>
        <v>-815438</v>
      </c>
      <c r="I10" s="451">
        <v>8506020</v>
      </c>
      <c r="J10" s="113">
        <v>0</v>
      </c>
      <c r="K10" s="113">
        <v>0</v>
      </c>
      <c r="L10" s="113">
        <v>0</v>
      </c>
      <c r="M10" s="113">
        <v>0</v>
      </c>
      <c r="N10" s="113">
        <v>0</v>
      </c>
      <c r="O10" s="113">
        <v>0</v>
      </c>
      <c r="P10" s="113">
        <v>0</v>
      </c>
      <c r="Q10" s="175">
        <f t="shared" ref="Q10:Q28" si="2">I10+N10+P10</f>
        <v>8506020</v>
      </c>
      <c r="S10" s="232"/>
    </row>
    <row r="11" spans="1:19" s="122" customFormat="1" ht="13.5" customHeight="1" x14ac:dyDescent="0.2">
      <c r="A11" s="462"/>
      <c r="B11" s="128"/>
      <c r="C11" s="112" t="s">
        <v>199</v>
      </c>
      <c r="D11" s="112" t="s">
        <v>534</v>
      </c>
      <c r="E11" s="113">
        <v>1641800</v>
      </c>
      <c r="F11" s="113">
        <v>228316</v>
      </c>
      <c r="G11" s="113">
        <v>0</v>
      </c>
      <c r="H11" s="113">
        <f t="shared" ref="H11:H15" si="3">I11-E11-F11-G11</f>
        <v>-363127</v>
      </c>
      <c r="I11" s="451">
        <v>1506989</v>
      </c>
      <c r="J11" s="113">
        <v>0</v>
      </c>
      <c r="K11" s="113">
        <v>0</v>
      </c>
      <c r="L11" s="113">
        <v>0</v>
      </c>
      <c r="M11" s="113">
        <v>0</v>
      </c>
      <c r="N11" s="113">
        <v>0</v>
      </c>
      <c r="O11" s="113">
        <v>0</v>
      </c>
      <c r="P11" s="113">
        <v>0</v>
      </c>
      <c r="Q11" s="175">
        <f t="shared" si="2"/>
        <v>1506989</v>
      </c>
      <c r="S11" s="232"/>
    </row>
    <row r="12" spans="1:19" s="122" customFormat="1" ht="13.5" customHeight="1" x14ac:dyDescent="0.2">
      <c r="A12" s="462"/>
      <c r="B12" s="128"/>
      <c r="C12" s="112" t="s">
        <v>200</v>
      </c>
      <c r="D12" s="112" t="s">
        <v>535</v>
      </c>
      <c r="E12" s="241">
        <f>28890000-815000</f>
        <v>28075000</v>
      </c>
      <c r="F12" s="241">
        <f>990159-589080</f>
        <v>401079</v>
      </c>
      <c r="G12" s="241">
        <f>630631-47400</f>
        <v>583231</v>
      </c>
      <c r="H12" s="241">
        <f>I12-E12-F12-G12</f>
        <v>1200478</v>
      </c>
      <c r="I12" s="450">
        <f>31788799-1529011</f>
        <v>30259788</v>
      </c>
      <c r="J12" s="241">
        <v>0</v>
      </c>
      <c r="K12" s="241">
        <v>0</v>
      </c>
      <c r="L12" s="241">
        <v>0</v>
      </c>
      <c r="M12" s="241">
        <v>0</v>
      </c>
      <c r="N12" s="241">
        <v>0</v>
      </c>
      <c r="O12" s="113">
        <v>0</v>
      </c>
      <c r="P12" s="113">
        <v>0</v>
      </c>
      <c r="Q12" s="175">
        <f t="shared" si="2"/>
        <v>30259788</v>
      </c>
      <c r="S12" s="232"/>
    </row>
    <row r="13" spans="1:19" s="122" customFormat="1" ht="13.5" customHeight="1" x14ac:dyDescent="0.2">
      <c r="A13" s="462"/>
      <c r="B13" s="128"/>
      <c r="C13" s="112" t="s">
        <v>734</v>
      </c>
      <c r="D13" s="112" t="s">
        <v>735</v>
      </c>
      <c r="E13" s="241"/>
      <c r="F13" s="241">
        <v>0</v>
      </c>
      <c r="G13" s="241">
        <v>0</v>
      </c>
      <c r="H13" s="241">
        <v>0</v>
      </c>
      <c r="I13" s="450">
        <v>0</v>
      </c>
      <c r="J13" s="241">
        <v>815000</v>
      </c>
      <c r="K13" s="241">
        <v>589080</v>
      </c>
      <c r="L13" s="241">
        <v>47400</v>
      </c>
      <c r="M13" s="241">
        <v>77531</v>
      </c>
      <c r="N13" s="241">
        <v>1529011</v>
      </c>
      <c r="O13" s="113">
        <v>0</v>
      </c>
      <c r="P13" s="113">
        <v>0</v>
      </c>
      <c r="Q13" s="175">
        <f t="shared" si="2"/>
        <v>1529011</v>
      </c>
      <c r="S13" s="232"/>
    </row>
    <row r="14" spans="1:19" s="122" customFormat="1" ht="13.5" customHeight="1" x14ac:dyDescent="0.2">
      <c r="A14" s="462"/>
      <c r="B14" s="128"/>
      <c r="C14" s="112" t="s">
        <v>459</v>
      </c>
      <c r="D14" s="112" t="s">
        <v>536</v>
      </c>
      <c r="E14" s="113">
        <v>0</v>
      </c>
      <c r="F14" s="113">
        <v>0</v>
      </c>
      <c r="G14" s="113">
        <v>0</v>
      </c>
      <c r="H14" s="113">
        <f t="shared" si="3"/>
        <v>75000</v>
      </c>
      <c r="I14" s="451">
        <v>75000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75">
        <f t="shared" si="2"/>
        <v>75000</v>
      </c>
      <c r="S14" s="232"/>
    </row>
    <row r="15" spans="1:19" s="122" customFormat="1" ht="13.5" customHeight="1" x14ac:dyDescent="0.2">
      <c r="A15" s="462"/>
      <c r="B15" s="128"/>
      <c r="C15" s="112" t="s">
        <v>201</v>
      </c>
      <c r="D15" s="112" t="s">
        <v>537</v>
      </c>
      <c r="E15" s="113">
        <v>11249715</v>
      </c>
      <c r="F15" s="113">
        <v>535930</v>
      </c>
      <c r="G15" s="113">
        <v>279053</v>
      </c>
      <c r="H15" s="113">
        <f t="shared" si="3"/>
        <v>3929745</v>
      </c>
      <c r="I15" s="451">
        <v>15994443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  <c r="P15" s="113">
        <v>0</v>
      </c>
      <c r="Q15" s="175">
        <f t="shared" si="2"/>
        <v>15994443</v>
      </c>
      <c r="S15" s="232"/>
    </row>
    <row r="16" spans="1:19" s="119" customFormat="1" ht="19.5" customHeight="1" x14ac:dyDescent="0.2">
      <c r="A16" s="462"/>
      <c r="B16" s="460" t="s">
        <v>202</v>
      </c>
      <c r="C16" s="460"/>
      <c r="D16" s="252" t="s">
        <v>538</v>
      </c>
      <c r="E16" s="118">
        <f>SUM(E10:E15)</f>
        <v>50287973</v>
      </c>
      <c r="F16" s="118">
        <f t="shared" ref="F16:H16" si="4">SUM(F10:F15)</f>
        <v>1165325</v>
      </c>
      <c r="G16" s="118">
        <f t="shared" si="4"/>
        <v>862284</v>
      </c>
      <c r="H16" s="118">
        <f t="shared" si="4"/>
        <v>4026658</v>
      </c>
      <c r="I16" s="452">
        <f>SUM(I10:I15)</f>
        <v>56342240</v>
      </c>
      <c r="J16" s="118">
        <f>SUM(J10:J15)</f>
        <v>815000</v>
      </c>
      <c r="K16" s="118">
        <f t="shared" ref="K16:N16" si="5">SUM(K10:K15)</f>
        <v>589080</v>
      </c>
      <c r="L16" s="118">
        <f t="shared" si="5"/>
        <v>47400</v>
      </c>
      <c r="M16" s="118">
        <f t="shared" si="5"/>
        <v>77531</v>
      </c>
      <c r="N16" s="118">
        <f t="shared" si="5"/>
        <v>1529011</v>
      </c>
      <c r="O16" s="118">
        <f>SUM(O9:O15)</f>
        <v>0</v>
      </c>
      <c r="P16" s="118">
        <f>SUM(P9:P15)</f>
        <v>0</v>
      </c>
      <c r="Q16" s="118">
        <f t="shared" si="2"/>
        <v>57871251</v>
      </c>
      <c r="S16" s="231"/>
    </row>
    <row r="17" spans="1:19" s="119" customFormat="1" ht="25.5" customHeight="1" x14ac:dyDescent="0.2">
      <c r="A17" s="130" t="s">
        <v>29</v>
      </c>
      <c r="B17" s="460" t="s">
        <v>57</v>
      </c>
      <c r="C17" s="460"/>
      <c r="D17" s="252" t="s">
        <v>539</v>
      </c>
      <c r="E17" s="118">
        <v>6336158</v>
      </c>
      <c r="F17" s="118">
        <v>0</v>
      </c>
      <c r="G17" s="118">
        <v>94500</v>
      </c>
      <c r="H17" s="118">
        <f>I17-E17-F17-G17</f>
        <v>533925</v>
      </c>
      <c r="I17" s="452">
        <v>6964583</v>
      </c>
      <c r="J17" s="118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  <c r="Q17" s="118">
        <f t="shared" si="2"/>
        <v>6964583</v>
      </c>
      <c r="S17" s="231"/>
    </row>
    <row r="18" spans="1:19" s="119" customFormat="1" ht="25.5" customHeight="1" x14ac:dyDescent="0.2">
      <c r="A18" s="130" t="s">
        <v>30</v>
      </c>
      <c r="B18" s="460" t="s">
        <v>203</v>
      </c>
      <c r="C18" s="460"/>
      <c r="D18" s="252" t="s">
        <v>540</v>
      </c>
      <c r="E18" s="118">
        <v>0</v>
      </c>
      <c r="F18" s="118">
        <v>228000</v>
      </c>
      <c r="G18" s="118">
        <v>0</v>
      </c>
      <c r="H18" s="118">
        <f>I18-E18-F18-G18</f>
        <v>0</v>
      </c>
      <c r="I18" s="452">
        <v>228000</v>
      </c>
      <c r="J18" s="118">
        <v>0</v>
      </c>
      <c r="K18" s="118">
        <v>0</v>
      </c>
      <c r="L18" s="118">
        <v>0</v>
      </c>
      <c r="M18" s="118">
        <v>0</v>
      </c>
      <c r="N18" s="118">
        <v>0</v>
      </c>
      <c r="O18" s="118">
        <v>0</v>
      </c>
      <c r="P18" s="118">
        <v>0</v>
      </c>
      <c r="Q18" s="118">
        <f t="shared" si="2"/>
        <v>228000</v>
      </c>
      <c r="S18" s="231"/>
    </row>
    <row r="19" spans="1:19" x14ac:dyDescent="0.2">
      <c r="A19" s="462" t="s">
        <v>32</v>
      </c>
      <c r="B19" s="128"/>
      <c r="C19" s="112" t="s">
        <v>204</v>
      </c>
      <c r="D19" s="112" t="s">
        <v>541</v>
      </c>
      <c r="E19" s="113">
        <v>8138775</v>
      </c>
      <c r="F19" s="113">
        <v>0</v>
      </c>
      <c r="G19" s="113">
        <v>0</v>
      </c>
      <c r="H19" s="113">
        <f>I19-E19-F19-G19</f>
        <v>1497106</v>
      </c>
      <c r="I19" s="451">
        <v>9635881</v>
      </c>
      <c r="J19" s="113"/>
      <c r="K19" s="113"/>
      <c r="L19" s="113"/>
      <c r="M19" s="113"/>
      <c r="N19" s="113"/>
      <c r="O19" s="113">
        <v>0</v>
      </c>
      <c r="P19" s="113">
        <v>0</v>
      </c>
      <c r="Q19" s="175">
        <f t="shared" si="2"/>
        <v>9635881</v>
      </c>
      <c r="S19" s="229"/>
    </row>
    <row r="20" spans="1:19" x14ac:dyDescent="0.2">
      <c r="A20" s="462"/>
      <c r="B20" s="128"/>
      <c r="C20" s="112" t="s">
        <v>205</v>
      </c>
      <c r="D20" s="112" t="s">
        <v>542</v>
      </c>
      <c r="E20" s="241">
        <v>0</v>
      </c>
      <c r="F20" s="241">
        <v>0</v>
      </c>
      <c r="G20" s="241">
        <v>0</v>
      </c>
      <c r="H20" s="241">
        <f t="shared" ref="H20:H21" si="6">I20-E20-F20-G20</f>
        <v>0</v>
      </c>
      <c r="I20" s="450">
        <v>0</v>
      </c>
      <c r="J20" s="241">
        <v>2923530</v>
      </c>
      <c r="K20" s="241">
        <v>0</v>
      </c>
      <c r="L20" s="241">
        <v>0</v>
      </c>
      <c r="M20" s="241">
        <v>-115400</v>
      </c>
      <c r="N20" s="241">
        <v>2808130</v>
      </c>
      <c r="O20" s="113">
        <v>0</v>
      </c>
      <c r="P20" s="113">
        <v>0</v>
      </c>
      <c r="Q20" s="175">
        <f t="shared" si="2"/>
        <v>2808130</v>
      </c>
      <c r="S20" s="229"/>
    </row>
    <row r="21" spans="1:19" x14ac:dyDescent="0.2">
      <c r="A21" s="462"/>
      <c r="B21" s="128"/>
      <c r="C21" s="112" t="s">
        <v>61</v>
      </c>
      <c r="D21" s="112" t="s">
        <v>543</v>
      </c>
      <c r="E21" s="113">
        <v>5040000</v>
      </c>
      <c r="F21" s="113">
        <v>-2370880</v>
      </c>
      <c r="G21" s="113">
        <v>12521735</v>
      </c>
      <c r="H21" s="113">
        <f t="shared" si="6"/>
        <v>59138479</v>
      </c>
      <c r="I21" s="451">
        <v>74329334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  <c r="P21" s="113">
        <v>0</v>
      </c>
      <c r="Q21" s="175">
        <f t="shared" si="2"/>
        <v>74329334</v>
      </c>
      <c r="S21" s="229"/>
    </row>
    <row r="22" spans="1:19" ht="25.5" customHeight="1" x14ac:dyDescent="0.2">
      <c r="A22" s="462"/>
      <c r="B22" s="460" t="s">
        <v>206</v>
      </c>
      <c r="C22" s="460"/>
      <c r="D22" s="252" t="s">
        <v>544</v>
      </c>
      <c r="E22" s="118">
        <f>SUM(E19:E21)+E18</f>
        <v>13178775</v>
      </c>
      <c r="F22" s="118">
        <f t="shared" ref="F22:H22" si="7">SUM(F19:F21)+F18</f>
        <v>-2142880</v>
      </c>
      <c r="G22" s="118">
        <f t="shared" si="7"/>
        <v>12521735</v>
      </c>
      <c r="H22" s="118">
        <f t="shared" si="7"/>
        <v>60635585</v>
      </c>
      <c r="I22" s="452">
        <f>SUM(I19:I21)+I18</f>
        <v>84193215</v>
      </c>
      <c r="J22" s="118">
        <f>SUM(J19:J21)</f>
        <v>2923530</v>
      </c>
      <c r="K22" s="118">
        <f t="shared" ref="K22:N22" si="8">SUM(K19:K21)</f>
        <v>0</v>
      </c>
      <c r="L22" s="118">
        <f t="shared" si="8"/>
        <v>0</v>
      </c>
      <c r="M22" s="118">
        <f t="shared" si="8"/>
        <v>-115400</v>
      </c>
      <c r="N22" s="118">
        <f t="shared" si="8"/>
        <v>2808130</v>
      </c>
      <c r="O22" s="118">
        <v>0</v>
      </c>
      <c r="P22" s="118">
        <v>0</v>
      </c>
      <c r="Q22" s="455">
        <f t="shared" si="2"/>
        <v>87001345</v>
      </c>
      <c r="S22" s="229"/>
    </row>
    <row r="23" spans="1:19" s="131" customFormat="1" ht="19.5" customHeight="1" x14ac:dyDescent="0.2">
      <c r="A23" s="129" t="s">
        <v>34</v>
      </c>
      <c r="B23" s="460" t="s">
        <v>207</v>
      </c>
      <c r="C23" s="460"/>
      <c r="D23" s="252" t="s">
        <v>545</v>
      </c>
      <c r="E23" s="118">
        <v>1737465</v>
      </c>
      <c r="F23" s="118">
        <v>561987</v>
      </c>
      <c r="G23" s="118">
        <v>19760360</v>
      </c>
      <c r="H23" s="118">
        <f>I23-E23-F23-G23</f>
        <v>1505914</v>
      </c>
      <c r="I23" s="452">
        <v>23565726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  <c r="Q23" s="455">
        <f t="shared" si="2"/>
        <v>23565726</v>
      </c>
      <c r="S23" s="456"/>
    </row>
    <row r="24" spans="1:19" s="131" customFormat="1" ht="19.5" customHeight="1" x14ac:dyDescent="0.2">
      <c r="A24" s="129" t="s">
        <v>34</v>
      </c>
      <c r="B24" s="460" t="s">
        <v>228</v>
      </c>
      <c r="C24" s="460"/>
      <c r="D24" s="252" t="s">
        <v>547</v>
      </c>
      <c r="E24" s="118">
        <v>0</v>
      </c>
      <c r="F24" s="118">
        <v>0</v>
      </c>
      <c r="G24" s="118">
        <v>0</v>
      </c>
      <c r="H24" s="118">
        <f>I24-F24-G24</f>
        <v>0</v>
      </c>
      <c r="I24" s="452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0</v>
      </c>
      <c r="Q24" s="455">
        <f t="shared" si="2"/>
        <v>0</v>
      </c>
      <c r="S24" s="456"/>
    </row>
    <row r="25" spans="1:19" s="131" customFormat="1" ht="18.75" customHeight="1" x14ac:dyDescent="0.2">
      <c r="A25" s="129" t="s">
        <v>35</v>
      </c>
      <c r="B25" s="460" t="s">
        <v>99</v>
      </c>
      <c r="C25" s="460"/>
      <c r="D25" s="252" t="s">
        <v>546</v>
      </c>
      <c r="E25" s="118">
        <v>1388250</v>
      </c>
      <c r="F25" s="118">
        <v>-44684</v>
      </c>
      <c r="G25" s="118">
        <v>0</v>
      </c>
      <c r="H25" s="118">
        <f>I25-E25-F25-G25</f>
        <v>408725</v>
      </c>
      <c r="I25" s="452">
        <v>1752291</v>
      </c>
      <c r="J25" s="118">
        <v>0</v>
      </c>
      <c r="K25" s="118">
        <v>0</v>
      </c>
      <c r="L25" s="118">
        <v>0</v>
      </c>
      <c r="M25" s="118">
        <v>0</v>
      </c>
      <c r="N25" s="118">
        <v>0</v>
      </c>
      <c r="O25" s="118">
        <v>0</v>
      </c>
      <c r="P25" s="118">
        <v>0</v>
      </c>
      <c r="Q25" s="455">
        <f t="shared" si="2"/>
        <v>1752291</v>
      </c>
      <c r="S25" s="456"/>
    </row>
    <row r="26" spans="1:19" ht="25.5" x14ac:dyDescent="0.2">
      <c r="A26" s="487" t="s">
        <v>36</v>
      </c>
      <c r="B26" s="128"/>
      <c r="C26" s="235" t="s">
        <v>208</v>
      </c>
      <c r="D26" s="235" t="s">
        <v>548</v>
      </c>
      <c r="E26" s="113">
        <v>5705751</v>
      </c>
      <c r="F26" s="113">
        <v>160169</v>
      </c>
      <c r="G26" s="113">
        <v>0</v>
      </c>
      <c r="H26" s="113">
        <f>I26-E26-F26-G26</f>
        <v>84700</v>
      </c>
      <c r="I26" s="451">
        <v>5950620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  <c r="P26" s="113">
        <v>0</v>
      </c>
      <c r="Q26" s="175">
        <f t="shared" si="2"/>
        <v>5950620</v>
      </c>
      <c r="S26" s="229"/>
    </row>
    <row r="27" spans="1:19" ht="25.5" x14ac:dyDescent="0.2">
      <c r="A27" s="487"/>
      <c r="B27" s="128"/>
      <c r="C27" s="112" t="s">
        <v>209</v>
      </c>
      <c r="D27" s="112" t="s">
        <v>550</v>
      </c>
      <c r="E27" s="113">
        <v>0</v>
      </c>
      <c r="F27" s="113">
        <v>0</v>
      </c>
      <c r="G27" s="113">
        <v>0</v>
      </c>
      <c r="H27" s="113">
        <f t="shared" ref="H27" si="9">I27-E27-F27-G27</f>
        <v>0</v>
      </c>
      <c r="I27" s="451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  <c r="P27" s="113">
        <v>0</v>
      </c>
      <c r="Q27" s="175">
        <f t="shared" si="2"/>
        <v>0</v>
      </c>
      <c r="S27" s="229"/>
    </row>
    <row r="28" spans="1:19" x14ac:dyDescent="0.2">
      <c r="A28" s="487"/>
      <c r="B28" s="128"/>
      <c r="C28" s="112" t="s">
        <v>210</v>
      </c>
      <c r="D28" s="112" t="s">
        <v>551</v>
      </c>
      <c r="E28" s="241">
        <v>0</v>
      </c>
      <c r="F28" s="241">
        <v>0</v>
      </c>
      <c r="G28" s="241">
        <v>0</v>
      </c>
      <c r="H28" s="241">
        <v>0</v>
      </c>
      <c r="I28" s="450">
        <v>0</v>
      </c>
      <c r="J28" s="241">
        <v>978000</v>
      </c>
      <c r="K28" s="241">
        <v>0</v>
      </c>
      <c r="L28" s="241">
        <v>0</v>
      </c>
      <c r="M28" s="241">
        <v>6</v>
      </c>
      <c r="N28" s="241">
        <v>978006</v>
      </c>
      <c r="O28" s="113">
        <v>0</v>
      </c>
      <c r="P28" s="113">
        <v>0</v>
      </c>
      <c r="Q28" s="175">
        <f t="shared" si="2"/>
        <v>978006</v>
      </c>
      <c r="S28" s="229"/>
    </row>
    <row r="29" spans="1:19" s="119" customFormat="1" ht="25.5" customHeight="1" x14ac:dyDescent="0.2">
      <c r="A29" s="487"/>
      <c r="B29" s="460" t="s">
        <v>211</v>
      </c>
      <c r="C29" s="460"/>
      <c r="D29" s="252" t="s">
        <v>549</v>
      </c>
      <c r="E29" s="118">
        <f>SUM(E26:E28)</f>
        <v>5705751</v>
      </c>
      <c r="F29" s="118">
        <f t="shared" ref="F29:H29" si="10">SUM(F26:F28)</f>
        <v>160169</v>
      </c>
      <c r="G29" s="118">
        <f t="shared" si="10"/>
        <v>0</v>
      </c>
      <c r="H29" s="118">
        <f t="shared" si="10"/>
        <v>84700</v>
      </c>
      <c r="I29" s="452">
        <f>SUM(I26:I28)</f>
        <v>5950620</v>
      </c>
      <c r="J29" s="118">
        <f>SUM(J26:J28)</f>
        <v>978000</v>
      </c>
      <c r="K29" s="118">
        <f t="shared" ref="K29:N29" si="11">SUM(K26:K28)</f>
        <v>0</v>
      </c>
      <c r="L29" s="118">
        <f t="shared" si="11"/>
        <v>0</v>
      </c>
      <c r="M29" s="118">
        <f t="shared" si="11"/>
        <v>6</v>
      </c>
      <c r="N29" s="118">
        <f t="shared" si="11"/>
        <v>978006</v>
      </c>
      <c r="O29" s="118">
        <f>SUM(O26:O28)</f>
        <v>0</v>
      </c>
      <c r="P29" s="118">
        <f>SUM(P26:P28)</f>
        <v>0</v>
      </c>
      <c r="Q29" s="118">
        <f>I29+N29+P29</f>
        <v>6928626</v>
      </c>
      <c r="S29" s="231"/>
    </row>
    <row r="30" spans="1:19" s="119" customFormat="1" ht="25.5" customHeight="1" x14ac:dyDescent="0.2">
      <c r="A30" s="467" t="s">
        <v>212</v>
      </c>
      <c r="B30" s="467"/>
      <c r="C30" s="467"/>
      <c r="D30" s="253" t="s">
        <v>552</v>
      </c>
      <c r="E30" s="124">
        <f>E8+E9+E16+E17+E22+E23+E25+E29+E24</f>
        <v>113150161</v>
      </c>
      <c r="F30" s="124">
        <f t="shared" ref="F30:H30" si="12">F8+F9+F16+F17+F22+F23+F25+F29+F24</f>
        <v>-74525</v>
      </c>
      <c r="G30" s="124">
        <f t="shared" si="12"/>
        <v>34254114</v>
      </c>
      <c r="H30" s="124">
        <f t="shared" si="12"/>
        <v>65837283</v>
      </c>
      <c r="I30" s="453">
        <f>I8+I9+I16+I17+I22+I23+I25+I29+I24</f>
        <v>213167033</v>
      </c>
      <c r="J30" s="453">
        <f t="shared" ref="J30:P30" si="13">J8+J9+J16+J17+J22+J23+J25+J29+J24</f>
        <v>4716530</v>
      </c>
      <c r="K30" s="453">
        <f t="shared" si="13"/>
        <v>589080</v>
      </c>
      <c r="L30" s="453">
        <f t="shared" si="13"/>
        <v>47400</v>
      </c>
      <c r="M30" s="453">
        <f t="shared" si="13"/>
        <v>-37863</v>
      </c>
      <c r="N30" s="453">
        <f t="shared" si="13"/>
        <v>5315147</v>
      </c>
      <c r="O30" s="453">
        <f t="shared" si="13"/>
        <v>0</v>
      </c>
      <c r="P30" s="453">
        <f t="shared" si="13"/>
        <v>0</v>
      </c>
      <c r="Q30" s="124">
        <f>I30+N30+P30</f>
        <v>218482180</v>
      </c>
      <c r="S30" s="231"/>
    </row>
    <row r="31" spans="1:19" s="131" customFormat="1" ht="18.75" customHeight="1" x14ac:dyDescent="0.2">
      <c r="A31" s="166" t="s">
        <v>235</v>
      </c>
      <c r="B31" s="460" t="s">
        <v>236</v>
      </c>
      <c r="C31" s="460"/>
      <c r="D31" s="252" t="s">
        <v>556</v>
      </c>
      <c r="E31" s="118">
        <f>SUM(E32)</f>
        <v>0</v>
      </c>
      <c r="F31" s="118">
        <f t="shared" ref="F31:H31" si="14">SUM(F32)</f>
        <v>0</v>
      </c>
      <c r="G31" s="118">
        <f t="shared" si="14"/>
        <v>0</v>
      </c>
      <c r="H31" s="118">
        <f t="shared" si="14"/>
        <v>0</v>
      </c>
      <c r="I31" s="452">
        <f>SUM(I32)</f>
        <v>0</v>
      </c>
      <c r="J31" s="452">
        <f t="shared" ref="J31:P31" si="15">SUM(J32)</f>
        <v>0</v>
      </c>
      <c r="K31" s="452">
        <f t="shared" si="15"/>
        <v>0</v>
      </c>
      <c r="L31" s="452">
        <f t="shared" si="15"/>
        <v>0</v>
      </c>
      <c r="M31" s="452">
        <f t="shared" si="15"/>
        <v>0</v>
      </c>
      <c r="N31" s="452">
        <f t="shared" si="15"/>
        <v>0</v>
      </c>
      <c r="O31" s="452">
        <f t="shared" si="15"/>
        <v>0</v>
      </c>
      <c r="P31" s="452">
        <f t="shared" si="15"/>
        <v>0</v>
      </c>
      <c r="Q31" s="118">
        <f>I31+N31+P31</f>
        <v>0</v>
      </c>
      <c r="S31" s="456"/>
    </row>
    <row r="32" spans="1:19" x14ac:dyDescent="0.2">
      <c r="A32" s="167"/>
      <c r="B32" s="128">
        <v>1</v>
      </c>
      <c r="C32" s="112" t="s">
        <v>236</v>
      </c>
      <c r="D32" s="112" t="s">
        <v>556</v>
      </c>
      <c r="E32" s="113">
        <v>0</v>
      </c>
      <c r="F32" s="113">
        <v>0</v>
      </c>
      <c r="G32" s="113">
        <v>0</v>
      </c>
      <c r="H32" s="113">
        <f>I32-E32-F32-G32</f>
        <v>0</v>
      </c>
      <c r="I32" s="451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3">
        <v>0</v>
      </c>
      <c r="P32" s="113">
        <v>0</v>
      </c>
      <c r="Q32" s="175">
        <f t="shared" ref="Q32:Q33" si="16">I32+N32+P32</f>
        <v>0</v>
      </c>
      <c r="S32" s="229"/>
    </row>
    <row r="33" spans="1:19" x14ac:dyDescent="0.2">
      <c r="A33" s="481" t="s">
        <v>37</v>
      </c>
      <c r="B33" s="128"/>
      <c r="C33" s="112" t="s">
        <v>213</v>
      </c>
      <c r="D33" s="112" t="s">
        <v>553</v>
      </c>
      <c r="E33" s="113">
        <v>1173636</v>
      </c>
      <c r="F33" s="113">
        <v>0</v>
      </c>
      <c r="G33" s="113">
        <v>0</v>
      </c>
      <c r="H33" s="113">
        <f t="shared" ref="H33:H34" si="17">I33-E33-F33-G33</f>
        <v>0</v>
      </c>
      <c r="I33" s="451">
        <v>1173636</v>
      </c>
      <c r="J33" s="113">
        <v>0</v>
      </c>
      <c r="K33" s="113">
        <v>0</v>
      </c>
      <c r="L33" s="113">
        <v>0</v>
      </c>
      <c r="M33" s="113">
        <v>0</v>
      </c>
      <c r="N33" s="113">
        <v>0</v>
      </c>
      <c r="O33" s="113">
        <v>0</v>
      </c>
      <c r="P33" s="113">
        <v>0</v>
      </c>
      <c r="Q33" s="175">
        <f t="shared" si="16"/>
        <v>1173636</v>
      </c>
      <c r="S33" s="229"/>
    </row>
    <row r="34" spans="1:19" x14ac:dyDescent="0.2">
      <c r="A34" s="482"/>
      <c r="B34" s="128"/>
      <c r="C34" s="112" t="s">
        <v>214</v>
      </c>
      <c r="D34" s="112" t="s">
        <v>554</v>
      </c>
      <c r="E34" s="113">
        <v>0</v>
      </c>
      <c r="F34" s="113">
        <v>0</v>
      </c>
      <c r="G34" s="113">
        <v>0</v>
      </c>
      <c r="H34" s="113">
        <f t="shared" si="17"/>
        <v>0</v>
      </c>
      <c r="I34" s="451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  <c r="P34" s="113">
        <v>0</v>
      </c>
      <c r="Q34" s="113">
        <f>I32+N32+P32</f>
        <v>0</v>
      </c>
      <c r="S34" s="229"/>
    </row>
    <row r="35" spans="1:19" s="119" customFormat="1" ht="22.5" customHeight="1" x14ac:dyDescent="0.2">
      <c r="A35" s="483" t="s">
        <v>215</v>
      </c>
      <c r="B35" s="484"/>
      <c r="C35" s="485"/>
      <c r="D35" s="254" t="s">
        <v>555</v>
      </c>
      <c r="E35" s="124">
        <f>SUM(E33:E34)+E31</f>
        <v>1173636</v>
      </c>
      <c r="F35" s="124">
        <f>SUM(F33:F34)+F31</f>
        <v>0</v>
      </c>
      <c r="G35" s="124">
        <f t="shared" ref="G35:H35" si="18">SUM(G33:G34)+G31</f>
        <v>0</v>
      </c>
      <c r="H35" s="124">
        <f t="shared" si="18"/>
        <v>0</v>
      </c>
      <c r="I35" s="453">
        <f>SUM(I33:I34)+I31</f>
        <v>1173636</v>
      </c>
      <c r="J35" s="453">
        <f t="shared" ref="J35:P35" si="19">SUM(J33:J34)+J31</f>
        <v>0</v>
      </c>
      <c r="K35" s="453">
        <f t="shared" si="19"/>
        <v>0</v>
      </c>
      <c r="L35" s="453">
        <f t="shared" si="19"/>
        <v>0</v>
      </c>
      <c r="M35" s="453">
        <f t="shared" si="19"/>
        <v>0</v>
      </c>
      <c r="N35" s="453">
        <f t="shared" si="19"/>
        <v>0</v>
      </c>
      <c r="O35" s="453">
        <f t="shared" si="19"/>
        <v>0</v>
      </c>
      <c r="P35" s="453">
        <f t="shared" si="19"/>
        <v>0</v>
      </c>
      <c r="Q35" s="124">
        <f>I35+N35+P35</f>
        <v>1173636</v>
      </c>
      <c r="S35" s="231"/>
    </row>
    <row r="36" spans="1:19" s="117" customFormat="1" ht="22.5" customHeight="1" x14ac:dyDescent="0.2">
      <c r="A36" s="486" t="s">
        <v>216</v>
      </c>
      <c r="B36" s="486"/>
      <c r="C36" s="486"/>
      <c r="D36" s="255"/>
      <c r="E36" s="132">
        <f>E30+E35</f>
        <v>114323797</v>
      </c>
      <c r="F36" s="132">
        <f t="shared" ref="F36:H36" si="20">F30+F35</f>
        <v>-74525</v>
      </c>
      <c r="G36" s="132">
        <f t="shared" si="20"/>
        <v>34254114</v>
      </c>
      <c r="H36" s="132">
        <f t="shared" si="20"/>
        <v>65837283</v>
      </c>
      <c r="I36" s="454">
        <f>I30+I35</f>
        <v>214340669</v>
      </c>
      <c r="J36" s="454">
        <f t="shared" ref="J36:P36" si="21">J30+J35</f>
        <v>4716530</v>
      </c>
      <c r="K36" s="454">
        <f t="shared" si="21"/>
        <v>589080</v>
      </c>
      <c r="L36" s="454">
        <f t="shared" si="21"/>
        <v>47400</v>
      </c>
      <c r="M36" s="454">
        <f t="shared" si="21"/>
        <v>-37863</v>
      </c>
      <c r="N36" s="454">
        <f t="shared" si="21"/>
        <v>5315147</v>
      </c>
      <c r="O36" s="454">
        <f t="shared" si="21"/>
        <v>0</v>
      </c>
      <c r="P36" s="454">
        <f t="shared" si="21"/>
        <v>0</v>
      </c>
      <c r="Q36" s="132">
        <f>I36+N36+P36</f>
        <v>219655816</v>
      </c>
      <c r="S36" s="230"/>
    </row>
    <row r="38" spans="1:19" x14ac:dyDescent="0.2"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</row>
    <row r="39" spans="1:19" x14ac:dyDescent="0.2">
      <c r="E39" s="229"/>
      <c r="F39" s="244"/>
      <c r="G39" s="244"/>
      <c r="H39" s="244"/>
      <c r="I39" s="244"/>
      <c r="J39" s="229"/>
      <c r="K39" s="229"/>
      <c r="L39" s="229"/>
      <c r="M39" s="229"/>
      <c r="N39" s="229"/>
      <c r="O39" s="229"/>
      <c r="P39" s="229"/>
      <c r="Q39" s="229"/>
      <c r="R39" s="229"/>
    </row>
  </sheetData>
  <mergeCells count="27">
    <mergeCell ref="E4:I4"/>
    <mergeCell ref="A33:A34"/>
    <mergeCell ref="A35:C35"/>
    <mergeCell ref="J4:N4"/>
    <mergeCell ref="A36:C36"/>
    <mergeCell ref="B23:C23"/>
    <mergeCell ref="B24:C24"/>
    <mergeCell ref="B25:C25"/>
    <mergeCell ref="A26:A29"/>
    <mergeCell ref="B29:C29"/>
    <mergeCell ref="A30:C30"/>
    <mergeCell ref="A1:Q1"/>
    <mergeCell ref="O4:P4"/>
    <mergeCell ref="Q4:Q5"/>
    <mergeCell ref="B31:C31"/>
    <mergeCell ref="A10:A16"/>
    <mergeCell ref="B16:C16"/>
    <mergeCell ref="B17:C17"/>
    <mergeCell ref="B18:C18"/>
    <mergeCell ref="A19:A22"/>
    <mergeCell ref="B22:C22"/>
    <mergeCell ref="B9:C9"/>
    <mergeCell ref="A6:A8"/>
    <mergeCell ref="B8:C8"/>
    <mergeCell ref="A4:C5"/>
    <mergeCell ref="A3:Q3"/>
    <mergeCell ref="D4:D5"/>
  </mergeCell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62"/>
  <sheetViews>
    <sheetView showWhiteSpace="0" view="pageLayout" zoomScaleNormal="100" workbookViewId="0">
      <selection activeCell="A4" sqref="A4"/>
    </sheetView>
  </sheetViews>
  <sheetFormatPr defaultRowHeight="12.75" x14ac:dyDescent="0.2"/>
  <cols>
    <col min="1" max="1" width="6.42578125" customWidth="1"/>
    <col min="2" max="2" width="38.85546875" customWidth="1"/>
    <col min="3" max="3" width="17.5703125" customWidth="1"/>
    <col min="4" max="4" width="15.5703125" customWidth="1"/>
    <col min="5" max="5" width="17.570312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x14ac:dyDescent="0.2">
      <c r="A1" s="494" t="s">
        <v>561</v>
      </c>
      <c r="B1" s="494"/>
      <c r="C1" s="494"/>
      <c r="D1" s="494"/>
      <c r="E1" s="494"/>
    </row>
    <row r="2" spans="1:5" x14ac:dyDescent="0.2">
      <c r="E2" s="270" t="s">
        <v>158</v>
      </c>
    </row>
    <row r="3" spans="1:5" ht="18" customHeight="1" x14ac:dyDescent="0.2">
      <c r="A3" s="492" t="s">
        <v>569</v>
      </c>
      <c r="B3" s="493"/>
      <c r="C3" s="493"/>
      <c r="D3" s="493"/>
      <c r="E3" s="493"/>
    </row>
    <row r="4" spans="1:5" s="181" customFormat="1" ht="26.25" customHeight="1" x14ac:dyDescent="0.2">
      <c r="A4" s="272"/>
      <c r="B4" s="272" t="s">
        <v>25</v>
      </c>
      <c r="C4" s="272" t="s">
        <v>360</v>
      </c>
      <c r="D4" s="273" t="s">
        <v>361</v>
      </c>
      <c r="E4" s="272" t="s">
        <v>362</v>
      </c>
    </row>
    <row r="5" spans="1:5" x14ac:dyDescent="0.2">
      <c r="A5" s="128" t="s">
        <v>347</v>
      </c>
      <c r="B5" s="112" t="s">
        <v>386</v>
      </c>
      <c r="C5" s="113">
        <v>850034</v>
      </c>
      <c r="D5" s="113">
        <v>0</v>
      </c>
      <c r="E5" s="113">
        <v>1400930</v>
      </c>
    </row>
    <row r="6" spans="1:5" ht="18" customHeight="1" x14ac:dyDescent="0.2">
      <c r="A6" s="178" t="s">
        <v>351</v>
      </c>
      <c r="B6" s="179" t="s">
        <v>387</v>
      </c>
      <c r="C6" s="180">
        <v>850034</v>
      </c>
      <c r="D6" s="180">
        <v>0</v>
      </c>
      <c r="E6" s="180">
        <f>SUM(E5)</f>
        <v>1400930</v>
      </c>
    </row>
    <row r="7" spans="1:5" ht="25.5" x14ac:dyDescent="0.2">
      <c r="A7" s="128" t="s">
        <v>277</v>
      </c>
      <c r="B7" s="112" t="s">
        <v>278</v>
      </c>
      <c r="C7" s="113">
        <v>477421444</v>
      </c>
      <c r="D7" s="113">
        <v>0</v>
      </c>
      <c r="E7" s="113">
        <v>694314096</v>
      </c>
    </row>
    <row r="8" spans="1:5" ht="25.5" x14ac:dyDescent="0.2">
      <c r="A8" s="128" t="s">
        <v>279</v>
      </c>
      <c r="B8" s="112" t="s">
        <v>280</v>
      </c>
      <c r="C8" s="113">
        <v>3339250</v>
      </c>
      <c r="D8" s="113">
        <v>0</v>
      </c>
      <c r="E8" s="113">
        <v>10157002</v>
      </c>
    </row>
    <row r="9" spans="1:5" x14ac:dyDescent="0.2">
      <c r="A9" s="128" t="s">
        <v>281</v>
      </c>
      <c r="B9" s="112" t="s">
        <v>282</v>
      </c>
      <c r="C9" s="113">
        <v>61287711</v>
      </c>
      <c r="D9" s="113">
        <v>0</v>
      </c>
      <c r="E9" s="113">
        <v>43609859</v>
      </c>
    </row>
    <row r="10" spans="1:5" x14ac:dyDescent="0.2">
      <c r="A10" s="178" t="s">
        <v>283</v>
      </c>
      <c r="B10" s="179" t="s">
        <v>363</v>
      </c>
      <c r="C10" s="180">
        <v>542048405</v>
      </c>
      <c r="D10" s="180">
        <v>0</v>
      </c>
      <c r="E10" s="180">
        <f>SUM(E7:E9)</f>
        <v>748080957</v>
      </c>
    </row>
    <row r="11" spans="1:5" ht="25.5" x14ac:dyDescent="0.2">
      <c r="A11" s="128" t="s">
        <v>284</v>
      </c>
      <c r="B11" s="112" t="s">
        <v>285</v>
      </c>
      <c r="C11" s="113">
        <v>3620000</v>
      </c>
      <c r="D11" s="113">
        <v>0</v>
      </c>
      <c r="E11" s="113">
        <v>3620000</v>
      </c>
    </row>
    <row r="12" spans="1:5" ht="25.5" x14ac:dyDescent="0.2">
      <c r="A12" s="128" t="s">
        <v>286</v>
      </c>
      <c r="B12" s="112" t="s">
        <v>287</v>
      </c>
      <c r="C12" s="113">
        <v>3620000</v>
      </c>
      <c r="D12" s="113">
        <v>0</v>
      </c>
      <c r="E12" s="113">
        <v>3620000</v>
      </c>
    </row>
    <row r="13" spans="1:5" ht="25.5" x14ac:dyDescent="0.2">
      <c r="A13" s="178" t="s">
        <v>289</v>
      </c>
      <c r="B13" s="179" t="s">
        <v>290</v>
      </c>
      <c r="C13" s="180">
        <v>3620000</v>
      </c>
      <c r="D13" s="180">
        <v>0</v>
      </c>
      <c r="E13" s="180">
        <f>SUM(E11)</f>
        <v>3620000</v>
      </c>
    </row>
    <row r="14" spans="1:5" ht="25.5" x14ac:dyDescent="0.2">
      <c r="A14" s="128" t="s">
        <v>291</v>
      </c>
      <c r="B14" s="112" t="s">
        <v>292</v>
      </c>
      <c r="C14" s="113">
        <v>108233175</v>
      </c>
      <c r="D14" s="113">
        <v>0</v>
      </c>
      <c r="E14" s="113">
        <v>292603487</v>
      </c>
    </row>
    <row r="15" spans="1:5" x14ac:dyDescent="0.2">
      <c r="A15" s="128" t="s">
        <v>293</v>
      </c>
      <c r="B15" s="112" t="s">
        <v>294</v>
      </c>
      <c r="C15" s="113">
        <v>108233175</v>
      </c>
      <c r="D15" s="113">
        <v>0</v>
      </c>
      <c r="E15" s="113">
        <v>292603487</v>
      </c>
    </row>
    <row r="16" spans="1:5" ht="25.5" x14ac:dyDescent="0.2">
      <c r="A16" s="178" t="s">
        <v>295</v>
      </c>
      <c r="B16" s="179" t="s">
        <v>296</v>
      </c>
      <c r="C16" s="180">
        <v>108233175</v>
      </c>
      <c r="D16" s="180">
        <v>0</v>
      </c>
      <c r="E16" s="180">
        <f>SUM(E14)</f>
        <v>292603487</v>
      </c>
    </row>
    <row r="17" spans="1:5" ht="38.25" x14ac:dyDescent="0.2">
      <c r="A17" s="178" t="s">
        <v>297</v>
      </c>
      <c r="B17" s="179" t="s">
        <v>298</v>
      </c>
      <c r="C17" s="180">
        <v>654751614</v>
      </c>
      <c r="D17" s="180">
        <v>0</v>
      </c>
      <c r="E17" s="180">
        <f>E6+E10+E13+E16</f>
        <v>1045705374</v>
      </c>
    </row>
    <row r="18" spans="1:5" x14ac:dyDescent="0.2">
      <c r="A18" s="128" t="s">
        <v>388</v>
      </c>
      <c r="B18" s="112" t="s">
        <v>389</v>
      </c>
      <c r="C18" s="113">
        <v>0</v>
      </c>
      <c r="D18" s="113">
        <v>0</v>
      </c>
      <c r="E18" s="113">
        <v>0</v>
      </c>
    </row>
    <row r="19" spans="1:5" ht="25.5" x14ac:dyDescent="0.2">
      <c r="A19" s="178" t="s">
        <v>390</v>
      </c>
      <c r="B19" s="179" t="s">
        <v>391</v>
      </c>
      <c r="C19" s="180">
        <v>0</v>
      </c>
      <c r="D19" s="180">
        <v>0</v>
      </c>
      <c r="E19" s="180">
        <f>SUM(E18)</f>
        <v>0</v>
      </c>
    </row>
    <row r="20" spans="1:5" x14ac:dyDescent="0.2">
      <c r="A20" s="128" t="s">
        <v>364</v>
      </c>
      <c r="B20" s="112" t="s">
        <v>300</v>
      </c>
      <c r="C20" s="113">
        <v>30584730</v>
      </c>
      <c r="D20" s="113">
        <v>0</v>
      </c>
      <c r="E20" s="113">
        <v>65877731</v>
      </c>
    </row>
    <row r="21" spans="1:5" x14ac:dyDescent="0.2">
      <c r="A21" s="178" t="s">
        <v>299</v>
      </c>
      <c r="B21" s="179" t="s">
        <v>301</v>
      </c>
      <c r="C21" s="180">
        <v>30584730</v>
      </c>
      <c r="D21" s="180">
        <v>0</v>
      </c>
      <c r="E21" s="180">
        <f>SUM(E20)</f>
        <v>65877731</v>
      </c>
    </row>
    <row r="22" spans="1:5" x14ac:dyDescent="0.2">
      <c r="A22" s="178" t="s">
        <v>365</v>
      </c>
      <c r="B22" s="179" t="s">
        <v>302</v>
      </c>
      <c r="C22" s="180">
        <v>30584730</v>
      </c>
      <c r="D22" s="180">
        <v>0</v>
      </c>
      <c r="E22" s="180">
        <f>E19+E21</f>
        <v>65877731</v>
      </c>
    </row>
    <row r="23" spans="1:5" ht="38.25" x14ac:dyDescent="0.2">
      <c r="A23" s="128" t="s">
        <v>303</v>
      </c>
      <c r="B23" s="112" t="s">
        <v>304</v>
      </c>
      <c r="C23" s="113">
        <v>9139871</v>
      </c>
      <c r="D23" s="113">
        <v>0</v>
      </c>
      <c r="E23" s="113">
        <v>6496179</v>
      </c>
    </row>
    <row r="24" spans="1:5" ht="27.75" customHeight="1" x14ac:dyDescent="0.2">
      <c r="A24" s="128" t="s">
        <v>366</v>
      </c>
      <c r="B24" s="112" t="s">
        <v>306</v>
      </c>
      <c r="C24" s="113">
        <v>466672</v>
      </c>
      <c r="D24" s="113">
        <v>0</v>
      </c>
      <c r="E24" s="113">
        <v>396388</v>
      </c>
    </row>
    <row r="25" spans="1:5" ht="30" customHeight="1" x14ac:dyDescent="0.2">
      <c r="A25" s="128" t="s">
        <v>367</v>
      </c>
      <c r="B25" s="112" t="s">
        <v>308</v>
      </c>
      <c r="C25" s="113">
        <v>3995388</v>
      </c>
      <c r="D25" s="113">
        <v>0</v>
      </c>
      <c r="E25" s="113">
        <v>2965884</v>
      </c>
    </row>
    <row r="26" spans="1:5" ht="25.5" x14ac:dyDescent="0.2">
      <c r="A26" s="128" t="s">
        <v>305</v>
      </c>
      <c r="B26" s="112" t="s">
        <v>310</v>
      </c>
      <c r="C26" s="113">
        <v>4677811</v>
      </c>
      <c r="D26" s="113">
        <v>0</v>
      </c>
      <c r="E26" s="113">
        <v>3133907</v>
      </c>
    </row>
    <row r="27" spans="1:5" ht="38.25" x14ac:dyDescent="0.2">
      <c r="A27" s="128" t="s">
        <v>307</v>
      </c>
      <c r="B27" s="112" t="s">
        <v>311</v>
      </c>
      <c r="C27" s="113">
        <v>1232241</v>
      </c>
      <c r="D27" s="113">
        <v>0</v>
      </c>
      <c r="E27" s="113">
        <v>302915</v>
      </c>
    </row>
    <row r="28" spans="1:5" ht="51" x14ac:dyDescent="0.2">
      <c r="A28" s="128" t="s">
        <v>309</v>
      </c>
      <c r="B28" s="112" t="s">
        <v>312</v>
      </c>
      <c r="C28" s="113">
        <v>1221964</v>
      </c>
      <c r="D28" s="113">
        <v>0</v>
      </c>
      <c r="E28" s="113">
        <v>257054</v>
      </c>
    </row>
    <row r="29" spans="1:5" ht="38.25" x14ac:dyDescent="0.2">
      <c r="A29" s="128" t="s">
        <v>392</v>
      </c>
      <c r="B29" s="112" t="s">
        <v>393</v>
      </c>
      <c r="C29" s="113">
        <v>10277</v>
      </c>
      <c r="D29" s="113">
        <v>0</v>
      </c>
      <c r="E29" s="113">
        <v>45861</v>
      </c>
    </row>
    <row r="30" spans="1:5" ht="25.5" x14ac:dyDescent="0.2">
      <c r="A30" s="178" t="s">
        <v>368</v>
      </c>
      <c r="B30" s="179" t="s">
        <v>313</v>
      </c>
      <c r="C30" s="180">
        <v>10372112</v>
      </c>
      <c r="D30" s="180">
        <v>0</v>
      </c>
      <c r="E30" s="180">
        <f>E23+E27</f>
        <v>6799094</v>
      </c>
    </row>
    <row r="31" spans="1:5" x14ac:dyDescent="0.2">
      <c r="A31" s="128" t="s">
        <v>369</v>
      </c>
      <c r="B31" s="112" t="s">
        <v>314</v>
      </c>
      <c r="C31" s="113">
        <v>180802</v>
      </c>
      <c r="D31" s="113">
        <v>0</v>
      </c>
      <c r="E31" s="113">
        <v>250602</v>
      </c>
    </row>
    <row r="32" spans="1:5" ht="25.5" x14ac:dyDescent="0.2">
      <c r="A32" s="128" t="s">
        <v>394</v>
      </c>
      <c r="B32" s="112" t="s">
        <v>395</v>
      </c>
      <c r="C32" s="113">
        <v>15000</v>
      </c>
      <c r="D32" s="113">
        <v>0</v>
      </c>
      <c r="E32" s="113">
        <v>15000</v>
      </c>
    </row>
    <row r="33" spans="1:5" ht="25.5" x14ac:dyDescent="0.2">
      <c r="A33" s="128" t="s">
        <v>370</v>
      </c>
      <c r="B33" s="112" t="s">
        <v>315</v>
      </c>
      <c r="C33" s="113">
        <v>165802</v>
      </c>
      <c r="D33" s="113">
        <v>0</v>
      </c>
      <c r="E33" s="113">
        <v>235602</v>
      </c>
    </row>
    <row r="34" spans="1:5" x14ac:dyDescent="0.2">
      <c r="A34" s="128" t="s">
        <v>371</v>
      </c>
      <c r="B34" s="112" t="s">
        <v>316</v>
      </c>
      <c r="C34" s="113">
        <v>25000</v>
      </c>
      <c r="D34" s="113">
        <v>0</v>
      </c>
      <c r="E34" s="113">
        <v>25000</v>
      </c>
    </row>
    <row r="35" spans="1:5" ht="38.25" x14ac:dyDescent="0.2">
      <c r="A35" s="128" t="s">
        <v>372</v>
      </c>
      <c r="B35" s="112" t="s">
        <v>317</v>
      </c>
      <c r="C35" s="113">
        <v>78008718</v>
      </c>
      <c r="D35" s="113">
        <v>0</v>
      </c>
      <c r="E35" s="113">
        <v>90707863</v>
      </c>
    </row>
    <row r="36" spans="1:5" ht="25.5" x14ac:dyDescent="0.2">
      <c r="A36" s="178" t="s">
        <v>373</v>
      </c>
      <c r="B36" s="179" t="s">
        <v>318</v>
      </c>
      <c r="C36" s="180">
        <v>78214520</v>
      </c>
      <c r="D36" s="180">
        <v>0</v>
      </c>
      <c r="E36" s="180">
        <f>E31+E34+E35</f>
        <v>90983465</v>
      </c>
    </row>
    <row r="37" spans="1:5" x14ac:dyDescent="0.2">
      <c r="A37" s="178" t="s">
        <v>374</v>
      </c>
      <c r="B37" s="179" t="s">
        <v>320</v>
      </c>
      <c r="C37" s="180">
        <v>88586632</v>
      </c>
      <c r="D37" s="180">
        <v>0</v>
      </c>
      <c r="E37" s="180">
        <f>E30+E36</f>
        <v>97782559</v>
      </c>
    </row>
    <row r="38" spans="1:5" ht="25.5" x14ac:dyDescent="0.2">
      <c r="A38" s="128" t="s">
        <v>319</v>
      </c>
      <c r="B38" s="112" t="s">
        <v>321</v>
      </c>
      <c r="C38" s="113">
        <v>1061478</v>
      </c>
      <c r="D38" s="113">
        <v>0</v>
      </c>
      <c r="E38" s="113">
        <v>2161222</v>
      </c>
    </row>
    <row r="39" spans="1:5" ht="38.25" x14ac:dyDescent="0.2">
      <c r="A39" s="178" t="s">
        <v>375</v>
      </c>
      <c r="B39" s="179" t="s">
        <v>323</v>
      </c>
      <c r="C39" s="180">
        <v>1061478</v>
      </c>
      <c r="D39" s="180">
        <v>0</v>
      </c>
      <c r="E39" s="180">
        <f>E38</f>
        <v>2161222</v>
      </c>
    </row>
    <row r="40" spans="1:5" x14ac:dyDescent="0.2">
      <c r="A40" s="128" t="s">
        <v>322</v>
      </c>
      <c r="B40" s="112" t="s">
        <v>324</v>
      </c>
      <c r="C40" s="113">
        <v>-735753</v>
      </c>
      <c r="D40" s="113">
        <v>0</v>
      </c>
      <c r="E40" s="113">
        <v>-1760222</v>
      </c>
    </row>
    <row r="41" spans="1:5" ht="25.5" x14ac:dyDescent="0.2">
      <c r="A41" s="178" t="s">
        <v>376</v>
      </c>
      <c r="B41" s="179" t="s">
        <v>325</v>
      </c>
      <c r="C41" s="180">
        <v>-735753</v>
      </c>
      <c r="D41" s="180">
        <v>0</v>
      </c>
      <c r="E41" s="180">
        <f>E40</f>
        <v>-1760222</v>
      </c>
    </row>
    <row r="42" spans="1:5" ht="25.5" x14ac:dyDescent="0.2">
      <c r="A42" s="178" t="s">
        <v>326</v>
      </c>
      <c r="B42" s="179" t="s">
        <v>377</v>
      </c>
      <c r="C42" s="180">
        <v>325725</v>
      </c>
      <c r="D42" s="180">
        <v>0</v>
      </c>
      <c r="E42" s="180">
        <f>E39+E41</f>
        <v>401000</v>
      </c>
    </row>
    <row r="43" spans="1:5" ht="25.5" x14ac:dyDescent="0.2">
      <c r="A43" s="128" t="s">
        <v>378</v>
      </c>
      <c r="B43" s="112" t="s">
        <v>329</v>
      </c>
      <c r="C43" s="113">
        <v>0</v>
      </c>
      <c r="D43" s="113">
        <v>0</v>
      </c>
      <c r="E43" s="113">
        <v>0</v>
      </c>
    </row>
    <row r="44" spans="1:5" ht="25.5" x14ac:dyDescent="0.2">
      <c r="A44" s="178" t="s">
        <v>327</v>
      </c>
      <c r="B44" s="179" t="s">
        <v>330</v>
      </c>
      <c r="C44" s="180">
        <v>0</v>
      </c>
      <c r="D44" s="180">
        <v>0</v>
      </c>
      <c r="E44" s="180">
        <v>0</v>
      </c>
    </row>
    <row r="45" spans="1:5" x14ac:dyDescent="0.2">
      <c r="A45" s="178" t="s">
        <v>328</v>
      </c>
      <c r="B45" s="179" t="s">
        <v>331</v>
      </c>
      <c r="C45" s="180">
        <v>774248701</v>
      </c>
      <c r="D45" s="180">
        <v>0</v>
      </c>
      <c r="E45" s="180">
        <f>E17+E22+E37+E44+E42</f>
        <v>1209766664</v>
      </c>
    </row>
    <row r="46" spans="1:5" x14ac:dyDescent="0.2">
      <c r="A46" s="128" t="s">
        <v>379</v>
      </c>
      <c r="B46" s="112" t="s">
        <v>332</v>
      </c>
      <c r="C46" s="113">
        <v>904856665</v>
      </c>
      <c r="D46" s="113">
        <v>0</v>
      </c>
      <c r="E46" s="113">
        <v>904856665</v>
      </c>
    </row>
    <row r="47" spans="1:5" x14ac:dyDescent="0.2">
      <c r="A47" s="128" t="s">
        <v>380</v>
      </c>
      <c r="B47" s="112" t="s">
        <v>334</v>
      </c>
      <c r="C47" s="113">
        <v>78008718</v>
      </c>
      <c r="D47" s="113">
        <v>0</v>
      </c>
      <c r="E47" s="113">
        <v>327559998</v>
      </c>
    </row>
    <row r="48" spans="1:5" ht="25.5" x14ac:dyDescent="0.2">
      <c r="A48" s="128" t="s">
        <v>420</v>
      </c>
      <c r="B48" s="112" t="s">
        <v>421</v>
      </c>
      <c r="C48" s="113">
        <v>9947786</v>
      </c>
      <c r="D48" s="113">
        <v>0</v>
      </c>
      <c r="E48" s="113">
        <v>9947786</v>
      </c>
    </row>
    <row r="49" spans="1:5" x14ac:dyDescent="0.2">
      <c r="A49" s="128" t="s">
        <v>422</v>
      </c>
      <c r="B49" s="112" t="s">
        <v>335</v>
      </c>
      <c r="C49" s="113">
        <v>-159865986</v>
      </c>
      <c r="D49" s="113">
        <v>0</v>
      </c>
      <c r="E49" s="113">
        <v>-225704656</v>
      </c>
    </row>
    <row r="50" spans="1:5" x14ac:dyDescent="0.2">
      <c r="A50" s="128" t="s">
        <v>333</v>
      </c>
      <c r="B50" s="112" t="s">
        <v>336</v>
      </c>
      <c r="C50" s="113">
        <v>-65838670</v>
      </c>
      <c r="D50" s="113">
        <v>0</v>
      </c>
      <c r="E50" s="113">
        <v>153264517</v>
      </c>
    </row>
    <row r="51" spans="1:5" x14ac:dyDescent="0.2">
      <c r="A51" s="178" t="s">
        <v>381</v>
      </c>
      <c r="B51" s="179" t="s">
        <v>382</v>
      </c>
      <c r="C51" s="180">
        <v>767108513</v>
      </c>
      <c r="D51" s="180">
        <v>0</v>
      </c>
      <c r="E51" s="180">
        <f>SUM(E46:E50)</f>
        <v>1169924310</v>
      </c>
    </row>
    <row r="52" spans="1:5" ht="38.25" x14ac:dyDescent="0.2">
      <c r="A52" s="128" t="s">
        <v>423</v>
      </c>
      <c r="B52" s="112" t="s">
        <v>383</v>
      </c>
      <c r="C52" s="113">
        <v>1173636</v>
      </c>
      <c r="D52" s="113">
        <v>0</v>
      </c>
      <c r="E52" s="113">
        <v>1467523</v>
      </c>
    </row>
    <row r="53" spans="1:5" ht="38.25" x14ac:dyDescent="0.2">
      <c r="A53" s="128" t="s">
        <v>424</v>
      </c>
      <c r="B53" s="112" t="s">
        <v>337</v>
      </c>
      <c r="C53" s="113">
        <v>1173636</v>
      </c>
      <c r="D53" s="113">
        <v>0</v>
      </c>
      <c r="E53" s="113">
        <v>1467523</v>
      </c>
    </row>
    <row r="54" spans="1:5" ht="38.25" x14ac:dyDescent="0.2">
      <c r="A54" s="178" t="s">
        <v>425</v>
      </c>
      <c r="B54" s="179" t="s">
        <v>338</v>
      </c>
      <c r="C54" s="180">
        <v>1173636</v>
      </c>
      <c r="D54" s="180">
        <v>0</v>
      </c>
      <c r="E54" s="180">
        <f>E52</f>
        <v>1467523</v>
      </c>
    </row>
    <row r="55" spans="1:5" x14ac:dyDescent="0.2">
      <c r="A55" s="128" t="s">
        <v>426</v>
      </c>
      <c r="B55" s="112" t="s">
        <v>339</v>
      </c>
      <c r="C55" s="113">
        <v>3671413</v>
      </c>
      <c r="D55" s="113">
        <v>0</v>
      </c>
      <c r="E55" s="113">
        <v>2685038</v>
      </c>
    </row>
    <row r="56" spans="1:5" ht="25.5" x14ac:dyDescent="0.2">
      <c r="A56" s="128" t="s">
        <v>384</v>
      </c>
      <c r="B56" s="112" t="s">
        <v>396</v>
      </c>
      <c r="C56" s="113">
        <v>0</v>
      </c>
      <c r="D56" s="113">
        <v>0</v>
      </c>
      <c r="E56" s="113">
        <v>0</v>
      </c>
    </row>
    <row r="57" spans="1:5" ht="25.5" x14ac:dyDescent="0.2">
      <c r="A57" s="178" t="s">
        <v>427</v>
      </c>
      <c r="B57" s="179" t="s">
        <v>340</v>
      </c>
      <c r="C57" s="180">
        <v>3671413</v>
      </c>
      <c r="D57" s="180">
        <v>0</v>
      </c>
      <c r="E57" s="180">
        <f>SUM(E55:E56)</f>
        <v>2685038</v>
      </c>
    </row>
    <row r="58" spans="1:5" x14ac:dyDescent="0.2">
      <c r="A58" s="178" t="s">
        <v>428</v>
      </c>
      <c r="B58" s="179" t="s">
        <v>341</v>
      </c>
      <c r="C58" s="180">
        <v>4845049</v>
      </c>
      <c r="D58" s="180">
        <v>0</v>
      </c>
      <c r="E58" s="180">
        <f>E54+E57</f>
        <v>4152561</v>
      </c>
    </row>
    <row r="59" spans="1:5" ht="25.5" x14ac:dyDescent="0.2">
      <c r="A59" s="128" t="s">
        <v>385</v>
      </c>
      <c r="B59" s="112" t="s">
        <v>342</v>
      </c>
      <c r="C59" s="113">
        <v>2295139</v>
      </c>
      <c r="D59" s="113">
        <v>0</v>
      </c>
      <c r="E59" s="113">
        <v>2372759</v>
      </c>
    </row>
    <row r="60" spans="1:5" ht="17.25" customHeight="1" x14ac:dyDescent="0.2">
      <c r="A60" s="128">
        <v>248</v>
      </c>
      <c r="B60" s="112" t="s">
        <v>570</v>
      </c>
      <c r="C60" s="113">
        <v>0</v>
      </c>
      <c r="D60" s="113">
        <v>0</v>
      </c>
      <c r="E60" s="113">
        <v>33317034</v>
      </c>
    </row>
    <row r="61" spans="1:5" ht="25.5" x14ac:dyDescent="0.2">
      <c r="A61" s="178" t="s">
        <v>429</v>
      </c>
      <c r="B61" s="179" t="s">
        <v>343</v>
      </c>
      <c r="C61" s="180">
        <v>2295139</v>
      </c>
      <c r="D61" s="180">
        <v>0</v>
      </c>
      <c r="E61" s="180">
        <f>SUM(E59:E60)</f>
        <v>35689793</v>
      </c>
    </row>
    <row r="62" spans="1:5" x14ac:dyDescent="0.2">
      <c r="A62" s="178" t="s">
        <v>430</v>
      </c>
      <c r="B62" s="179" t="s">
        <v>344</v>
      </c>
      <c r="C62" s="180">
        <v>774248701</v>
      </c>
      <c r="D62" s="180">
        <v>0</v>
      </c>
      <c r="E62" s="180">
        <f>E51+E58+E61</f>
        <v>1209766664</v>
      </c>
    </row>
  </sheetData>
  <mergeCells count="2">
    <mergeCell ref="A3:E3"/>
    <mergeCell ref="A1:E1"/>
  </mergeCells>
  <pageMargins left="0.75" right="0.75" top="1" bottom="1" header="0.5" footer="0.5"/>
  <pageSetup scale="94" fitToHeight="0" orientation="portrait" r:id="rId1"/>
  <headerFooter alignWithMargins="0">
    <oddHeader>&amp;R3. melléklet</oddHeader>
  </headerFooter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1:O31"/>
  <sheetViews>
    <sheetView view="pageLayout" topLeftCell="B1" zoomScaleNormal="100" workbookViewId="0">
      <selection activeCell="H60" sqref="H60"/>
    </sheetView>
  </sheetViews>
  <sheetFormatPr defaultRowHeight="12.75" x14ac:dyDescent="0.2"/>
  <cols>
    <col min="1" max="1" width="5.85546875" style="36" customWidth="1"/>
    <col min="2" max="2" width="46.28515625" style="39" customWidth="1"/>
    <col min="3" max="3" width="12.5703125" style="105" bestFit="1" customWidth="1"/>
    <col min="4" max="4" width="10.7109375" style="105" customWidth="1"/>
    <col min="5" max="5" width="11.42578125" style="105" customWidth="1"/>
    <col min="6" max="6" width="13.28515625" style="105" customWidth="1"/>
    <col min="7" max="8" width="12.5703125" style="105" bestFit="1" customWidth="1"/>
    <col min="9" max="9" width="47.28515625" style="36" customWidth="1"/>
    <col min="10" max="10" width="12.7109375" style="36" bestFit="1" customWidth="1"/>
    <col min="11" max="11" width="14.28515625" style="36" customWidth="1"/>
    <col min="12" max="12" width="14.85546875" style="36" customWidth="1"/>
    <col min="13" max="13" width="14.5703125" style="36" customWidth="1"/>
    <col min="14" max="14" width="12.7109375" style="36" bestFit="1" customWidth="1"/>
    <col min="15" max="15" width="12.5703125" style="105" bestFit="1" customWidth="1"/>
    <col min="16" max="16384" width="9.140625" style="36"/>
  </cols>
  <sheetData>
    <row r="1" spans="1:15" ht="39.75" customHeight="1" x14ac:dyDescent="0.2">
      <c r="B1" s="37" t="s">
        <v>475</v>
      </c>
      <c r="C1" s="104"/>
      <c r="D1" s="104"/>
      <c r="E1" s="104"/>
      <c r="F1" s="104"/>
      <c r="G1" s="104"/>
      <c r="H1" s="104"/>
      <c r="I1" s="38"/>
      <c r="J1" s="38"/>
      <c r="K1" s="38"/>
      <c r="L1" s="38"/>
      <c r="M1" s="38"/>
      <c r="N1" s="38"/>
      <c r="O1" s="104"/>
    </row>
    <row r="2" spans="1:15" ht="14.25" thickBot="1" x14ac:dyDescent="0.25">
      <c r="O2" s="40" t="s">
        <v>157</v>
      </c>
    </row>
    <row r="3" spans="1:15" ht="18" customHeight="1" thickBot="1" x14ac:dyDescent="0.25">
      <c r="A3" s="495" t="s">
        <v>52</v>
      </c>
      <c r="B3" s="41" t="s">
        <v>53</v>
      </c>
      <c r="C3" s="42"/>
      <c r="D3" s="133"/>
      <c r="E3" s="133"/>
      <c r="F3" s="133"/>
      <c r="G3" s="133"/>
      <c r="H3" s="133"/>
      <c r="I3" s="41" t="s">
        <v>54</v>
      </c>
      <c r="J3" s="142"/>
      <c r="K3" s="142"/>
      <c r="L3" s="142"/>
      <c r="M3" s="142"/>
      <c r="N3" s="142"/>
      <c r="O3" s="43"/>
    </row>
    <row r="4" spans="1:15" s="45" customFormat="1" ht="35.25" customHeight="1" thickBot="1" x14ac:dyDescent="0.25">
      <c r="A4" s="496"/>
      <c r="B4" s="44" t="s">
        <v>25</v>
      </c>
      <c r="C4" s="220" t="s">
        <v>474</v>
      </c>
      <c r="D4" s="220" t="s">
        <v>528</v>
      </c>
      <c r="E4" s="220" t="s">
        <v>487</v>
      </c>
      <c r="F4" s="220" t="s">
        <v>488</v>
      </c>
      <c r="G4" s="433" t="s">
        <v>217</v>
      </c>
      <c r="H4" s="434" t="s">
        <v>218</v>
      </c>
      <c r="I4" s="44" t="s">
        <v>25</v>
      </c>
      <c r="J4" s="220" t="s">
        <v>474</v>
      </c>
      <c r="K4" s="436" t="s">
        <v>486</v>
      </c>
      <c r="L4" s="435" t="s">
        <v>487</v>
      </c>
      <c r="M4" s="435" t="s">
        <v>488</v>
      </c>
      <c r="N4" s="433" t="s">
        <v>217</v>
      </c>
      <c r="O4" s="434" t="s">
        <v>218</v>
      </c>
    </row>
    <row r="5" spans="1:15" ht="12.95" customHeight="1" x14ac:dyDescent="0.2">
      <c r="A5" s="46" t="s">
        <v>26</v>
      </c>
      <c r="B5" s="47" t="s">
        <v>7</v>
      </c>
      <c r="C5" s="48">
        <f>+'1. Bevételek'!E29</f>
        <v>37800000</v>
      </c>
      <c r="D5" s="48">
        <v>126486</v>
      </c>
      <c r="E5" s="48">
        <v>4250531</v>
      </c>
      <c r="F5" s="48">
        <v>12730942</v>
      </c>
      <c r="G5" s="48">
        <f>+'1. Bevételek'!I29</f>
        <v>54907959</v>
      </c>
      <c r="H5" s="48">
        <f>+'1. Bevételek'!J29</f>
        <v>48806815</v>
      </c>
      <c r="I5" s="47" t="s">
        <v>1</v>
      </c>
      <c r="J5" s="144">
        <f>+'2. Kiadások'!E6</f>
        <v>28883506</v>
      </c>
      <c r="K5" s="144">
        <v>225558</v>
      </c>
      <c r="L5" s="144">
        <v>582768</v>
      </c>
      <c r="M5" s="48">
        <v>41796</v>
      </c>
      <c r="N5" s="48">
        <f>+'2. Kiadások'!I6</f>
        <v>29733628</v>
      </c>
      <c r="O5" s="49">
        <f>+'2. Kiadások'!J6</f>
        <v>28422156</v>
      </c>
    </row>
    <row r="6" spans="1:15" ht="12.95" customHeight="1" x14ac:dyDescent="0.2">
      <c r="A6" s="50" t="s">
        <v>27</v>
      </c>
      <c r="B6" s="51" t="s">
        <v>0</v>
      </c>
      <c r="C6" s="52">
        <f>+'1. Bevételek'!E41</f>
        <v>15100000</v>
      </c>
      <c r="D6" s="52">
        <v>86986</v>
      </c>
      <c r="E6" s="52">
        <v>28718120</v>
      </c>
      <c r="F6" s="52">
        <v>11946762</v>
      </c>
      <c r="G6" s="52">
        <f>+'1. Bevételek'!I41</f>
        <v>55851868</v>
      </c>
      <c r="H6" s="52">
        <f>+'1. Bevételek'!J41</f>
        <v>55548953</v>
      </c>
      <c r="I6" s="51" t="s">
        <v>55</v>
      </c>
      <c r="J6" s="55">
        <f>+'2. Kiadások'!E7</f>
        <v>5632283</v>
      </c>
      <c r="K6" s="437">
        <v>0</v>
      </c>
      <c r="L6" s="437">
        <v>432467</v>
      </c>
      <c r="M6" s="437">
        <v>-1400020</v>
      </c>
      <c r="N6" s="55">
        <f>+'2. Kiadások'!I7</f>
        <v>4664730</v>
      </c>
      <c r="O6" s="53">
        <f>+'2. Kiadások'!J7</f>
        <v>4664730</v>
      </c>
    </row>
    <row r="7" spans="1:15" ht="12.95" customHeight="1" x14ac:dyDescent="0.2">
      <c r="A7" s="50" t="s">
        <v>28</v>
      </c>
      <c r="B7" s="51" t="s">
        <v>56</v>
      </c>
      <c r="C7" s="52"/>
      <c r="D7" s="134"/>
      <c r="E7" s="134"/>
      <c r="F7" s="134"/>
      <c r="G7" s="134"/>
      <c r="H7" s="134"/>
      <c r="I7" s="51" t="s">
        <v>24</v>
      </c>
      <c r="J7" s="55">
        <f>+'2. Kiadások'!E13</f>
        <v>51102973</v>
      </c>
      <c r="K7" s="437">
        <v>1754405</v>
      </c>
      <c r="L7" s="437">
        <v>909684</v>
      </c>
      <c r="M7" s="437">
        <v>4104189</v>
      </c>
      <c r="N7" s="55">
        <f>+'2. Kiadások'!I13</f>
        <v>57871251</v>
      </c>
      <c r="O7" s="53">
        <f>+'2. Kiadások'!J13</f>
        <v>57710368</v>
      </c>
    </row>
    <row r="8" spans="1:15" ht="12.95" customHeight="1" x14ac:dyDescent="0.2">
      <c r="A8" s="50" t="s">
        <v>29</v>
      </c>
      <c r="B8" s="54" t="s">
        <v>154</v>
      </c>
      <c r="C8" s="52">
        <f>+'1. Bevételek'!E10</f>
        <v>29340904</v>
      </c>
      <c r="D8" s="52">
        <v>125183</v>
      </c>
      <c r="E8" s="52">
        <v>1332863</v>
      </c>
      <c r="F8" s="52">
        <v>2606913</v>
      </c>
      <c r="G8" s="52">
        <f>+'1. Bevételek'!I10</f>
        <v>33405863</v>
      </c>
      <c r="H8" s="52">
        <f>+'1. Bevételek'!J10</f>
        <v>33405863</v>
      </c>
      <c r="I8" s="51" t="s">
        <v>57</v>
      </c>
      <c r="J8" s="55">
        <f>+'2. Kiadások'!E14</f>
        <v>6336158</v>
      </c>
      <c r="K8" s="437">
        <v>0</v>
      </c>
      <c r="L8" s="437">
        <v>94500</v>
      </c>
      <c r="M8" s="437">
        <v>533925</v>
      </c>
      <c r="N8" s="55">
        <f>+'2. Kiadások'!I14</f>
        <v>6964583</v>
      </c>
      <c r="O8" s="53">
        <f>+'2. Kiadások'!J14</f>
        <v>6964583</v>
      </c>
    </row>
    <row r="9" spans="1:15" ht="12.95" customHeight="1" x14ac:dyDescent="0.2">
      <c r="A9" s="50" t="s">
        <v>30</v>
      </c>
      <c r="B9" s="51" t="s">
        <v>58</v>
      </c>
      <c r="C9" s="52">
        <f>+'1. Bevételek'!E17</f>
        <v>3750969</v>
      </c>
      <c r="D9" s="424" t="s">
        <v>724</v>
      </c>
      <c r="E9" s="424" t="s">
        <v>724</v>
      </c>
      <c r="F9" s="52">
        <v>2240592</v>
      </c>
      <c r="G9" s="52">
        <f>+'1. Bevételek'!I17</f>
        <v>5991561</v>
      </c>
      <c r="H9" s="52">
        <f>+'1. Bevételek'!J17</f>
        <v>5991561</v>
      </c>
      <c r="I9" s="51" t="s">
        <v>59</v>
      </c>
      <c r="J9" s="55">
        <f>+'2. Kiadások'!E16+'2. Kiadások'!E17+'2. Kiadások'!E15</f>
        <v>11062305</v>
      </c>
      <c r="K9" s="437">
        <v>228000</v>
      </c>
      <c r="L9" s="437">
        <v>0</v>
      </c>
      <c r="M9" s="437">
        <v>1381706</v>
      </c>
      <c r="N9" s="55">
        <f>+'2. Kiadások'!I16+'2. Kiadások'!I17+'2. Kiadások'!I15</f>
        <v>12672011</v>
      </c>
      <c r="O9" s="53">
        <f>+'2. Kiadások'!J16+'2. Kiadások'!J17+'2. Kiadások'!J15</f>
        <v>12672011</v>
      </c>
    </row>
    <row r="10" spans="1:15" ht="12.95" customHeight="1" x14ac:dyDescent="0.2">
      <c r="A10" s="50" t="s">
        <v>32</v>
      </c>
      <c r="B10" s="51" t="s">
        <v>60</v>
      </c>
      <c r="C10" s="52"/>
      <c r="D10" s="52"/>
      <c r="E10" s="52"/>
      <c r="F10" s="52"/>
      <c r="G10" s="52"/>
      <c r="H10" s="135"/>
      <c r="I10" s="51" t="s">
        <v>61</v>
      </c>
      <c r="J10" s="55">
        <f>+'2. Kiadások'!E18</f>
        <v>5040000</v>
      </c>
      <c r="K10" s="437">
        <v>-2370880</v>
      </c>
      <c r="L10" s="437">
        <v>12521735</v>
      </c>
      <c r="M10" s="437">
        <v>59138479</v>
      </c>
      <c r="N10" s="55">
        <f>+'2. Kiadások'!I18</f>
        <v>74329334</v>
      </c>
      <c r="O10" s="438"/>
    </row>
    <row r="11" spans="1:15" ht="12.95" customHeight="1" x14ac:dyDescent="0.2">
      <c r="A11" s="50" t="s">
        <v>34</v>
      </c>
      <c r="B11" s="51" t="s">
        <v>62</v>
      </c>
      <c r="C11" s="52"/>
      <c r="D11" s="52"/>
      <c r="E11" s="52"/>
      <c r="F11" s="52"/>
      <c r="G11" s="52"/>
      <c r="H11" s="52">
        <f>+'1. Bevételek'!J47</f>
        <v>0</v>
      </c>
      <c r="I11" s="51" t="s">
        <v>8</v>
      </c>
      <c r="J11" s="55"/>
      <c r="K11" s="437"/>
      <c r="L11" s="437"/>
      <c r="M11" s="437"/>
      <c r="N11" s="145"/>
      <c r="O11" s="143"/>
    </row>
    <row r="12" spans="1:15" ht="12.95" customHeight="1" x14ac:dyDescent="0.2">
      <c r="A12" s="50" t="s">
        <v>35</v>
      </c>
      <c r="B12" s="51" t="s">
        <v>63</v>
      </c>
      <c r="C12" s="52"/>
      <c r="D12" s="52"/>
      <c r="E12" s="52"/>
      <c r="F12" s="52"/>
      <c r="G12" s="52"/>
      <c r="H12" s="134"/>
      <c r="I12" s="56"/>
      <c r="J12" s="55"/>
      <c r="K12" s="437"/>
      <c r="L12" s="437"/>
      <c r="M12" s="437"/>
      <c r="N12" s="146"/>
      <c r="O12" s="143"/>
    </row>
    <row r="13" spans="1:15" ht="12.95" customHeight="1" x14ac:dyDescent="0.2">
      <c r="A13" s="50" t="s">
        <v>36</v>
      </c>
      <c r="B13" s="57" t="s">
        <v>64</v>
      </c>
      <c r="C13" s="52"/>
      <c r="D13" s="52"/>
      <c r="E13" s="52"/>
      <c r="F13" s="52"/>
      <c r="G13" s="52"/>
      <c r="H13" s="135"/>
      <c r="I13" s="56"/>
      <c r="J13" s="55"/>
      <c r="K13" s="437"/>
      <c r="L13" s="437"/>
      <c r="M13" s="437"/>
      <c r="N13" s="146"/>
      <c r="O13" s="143"/>
    </row>
    <row r="14" spans="1:15" ht="12.95" customHeight="1" x14ac:dyDescent="0.2">
      <c r="A14" s="50" t="s">
        <v>37</v>
      </c>
      <c r="B14" s="56" t="s">
        <v>725</v>
      </c>
      <c r="C14" s="52"/>
      <c r="D14" s="52"/>
      <c r="E14" s="52"/>
      <c r="F14" s="52"/>
      <c r="G14" s="52"/>
      <c r="H14" s="134"/>
      <c r="I14" s="56"/>
      <c r="J14" s="55"/>
      <c r="K14" s="437"/>
      <c r="L14" s="437"/>
      <c r="M14" s="437"/>
      <c r="N14" s="146"/>
      <c r="O14" s="143"/>
    </row>
    <row r="15" spans="1:15" ht="12.95" customHeight="1" x14ac:dyDescent="0.2">
      <c r="A15" s="50" t="s">
        <v>15</v>
      </c>
      <c r="B15" s="56"/>
      <c r="C15" s="52"/>
      <c r="D15" s="134"/>
      <c r="E15" s="134"/>
      <c r="F15" s="134"/>
      <c r="G15" s="134"/>
      <c r="H15" s="134"/>
      <c r="I15" s="56"/>
      <c r="J15" s="55"/>
      <c r="K15" s="437"/>
      <c r="L15" s="437"/>
      <c r="M15" s="437"/>
      <c r="N15" s="146"/>
      <c r="O15" s="143"/>
    </row>
    <row r="16" spans="1:15" ht="12.95" customHeight="1" thickBot="1" x14ac:dyDescent="0.25">
      <c r="A16" s="50" t="s">
        <v>16</v>
      </c>
      <c r="B16" s="58"/>
      <c r="C16" s="59"/>
      <c r="D16" s="136"/>
      <c r="E16" s="136"/>
      <c r="F16" s="136"/>
      <c r="G16" s="136"/>
      <c r="H16" s="136"/>
      <c r="I16" s="56"/>
      <c r="J16" s="173"/>
      <c r="K16" s="439"/>
      <c r="L16" s="439"/>
      <c r="M16" s="439"/>
      <c r="N16" s="440"/>
      <c r="O16" s="196"/>
    </row>
    <row r="17" spans="1:15" ht="15.95" customHeight="1" thickBot="1" x14ac:dyDescent="0.25">
      <c r="A17" s="60" t="s">
        <v>20</v>
      </c>
      <c r="B17" s="61" t="s">
        <v>65</v>
      </c>
      <c r="C17" s="210">
        <f>SUM(C5:C16)</f>
        <v>85991873</v>
      </c>
      <c r="D17" s="210">
        <f t="shared" ref="D17:F17" si="0">SUM(D5:D16)</f>
        <v>338655</v>
      </c>
      <c r="E17" s="210">
        <f t="shared" si="0"/>
        <v>34301514</v>
      </c>
      <c r="F17" s="210">
        <f t="shared" si="0"/>
        <v>29525209</v>
      </c>
      <c r="G17" s="210">
        <f>SUM(G5:G16)</f>
        <v>150157251</v>
      </c>
      <c r="H17" s="210">
        <f>SUM(H5:H16)</f>
        <v>143753192</v>
      </c>
      <c r="I17" s="61" t="s">
        <v>66</v>
      </c>
      <c r="J17" s="211">
        <f>SUM(J5:J16)</f>
        <v>108057225</v>
      </c>
      <c r="K17" s="211">
        <f t="shared" ref="K17:M17" si="1">SUM(K5:K16)</f>
        <v>-162917</v>
      </c>
      <c r="L17" s="211">
        <f t="shared" si="1"/>
        <v>14541154</v>
      </c>
      <c r="M17" s="211">
        <f t="shared" si="1"/>
        <v>63800075</v>
      </c>
      <c r="N17" s="211">
        <f>SUM(N5:N16)</f>
        <v>186235537</v>
      </c>
      <c r="O17" s="216">
        <f>SUM(O5:O16)</f>
        <v>110433848</v>
      </c>
    </row>
    <row r="18" spans="1:15" ht="12.95" customHeight="1" x14ac:dyDescent="0.2">
      <c r="A18" s="63" t="s">
        <v>17</v>
      </c>
      <c r="B18" s="64" t="s">
        <v>67</v>
      </c>
      <c r="C18" s="65">
        <f>+C19+C20+C21+C22</f>
        <v>33048454</v>
      </c>
      <c r="D18" s="427">
        <f t="shared" ref="D18:E18" si="2">+D19+D20+D21+D22</f>
        <v>0</v>
      </c>
      <c r="E18" s="427">
        <f t="shared" si="2"/>
        <v>0</v>
      </c>
      <c r="F18" s="65">
        <f>SUM(F19:F22)</f>
        <v>1467523</v>
      </c>
      <c r="G18" s="65">
        <f>+G19+G20+G21+G22</f>
        <v>34515977</v>
      </c>
      <c r="H18" s="65">
        <f>+H19+H20+H21+H22</f>
        <v>34515977</v>
      </c>
      <c r="I18" s="66" t="s">
        <v>68</v>
      </c>
      <c r="J18" s="212"/>
      <c r="K18" s="212"/>
      <c r="L18" s="212"/>
      <c r="M18" s="212"/>
      <c r="N18" s="145"/>
      <c r="O18" s="217"/>
    </row>
    <row r="19" spans="1:15" ht="12.95" customHeight="1" x14ac:dyDescent="0.2">
      <c r="A19" s="67" t="s">
        <v>40</v>
      </c>
      <c r="B19" s="66" t="s">
        <v>69</v>
      </c>
      <c r="C19" s="68">
        <v>33048454</v>
      </c>
      <c r="D19" s="425" t="s">
        <v>724</v>
      </c>
      <c r="E19" s="425" t="s">
        <v>724</v>
      </c>
      <c r="F19" s="425" t="s">
        <v>724</v>
      </c>
      <c r="G19" s="68">
        <v>33048454</v>
      </c>
      <c r="H19" s="68">
        <v>33048454</v>
      </c>
      <c r="I19" s="66" t="s">
        <v>70</v>
      </c>
      <c r="J19" s="55"/>
      <c r="K19" s="55"/>
      <c r="L19" s="55"/>
      <c r="M19" s="55"/>
      <c r="N19" s="145"/>
      <c r="O19" s="143"/>
    </row>
    <row r="20" spans="1:15" ht="12.95" customHeight="1" x14ac:dyDescent="0.2">
      <c r="A20" s="67" t="s">
        <v>41</v>
      </c>
      <c r="B20" s="66" t="s">
        <v>159</v>
      </c>
      <c r="C20" s="68">
        <f>+'1. Bevételek'!E51</f>
        <v>0</v>
      </c>
      <c r="D20" s="68"/>
      <c r="E20" s="68"/>
      <c r="F20" s="68"/>
      <c r="G20" s="68">
        <f>+'1. Bevételek'!I51</f>
        <v>0</v>
      </c>
      <c r="H20" s="68">
        <f>+'1. Bevételek'!J51</f>
        <v>0</v>
      </c>
      <c r="I20" s="66" t="s">
        <v>71</v>
      </c>
      <c r="J20" s="55"/>
      <c r="K20" s="55"/>
      <c r="L20" s="55"/>
      <c r="M20" s="55"/>
      <c r="N20" s="145"/>
      <c r="O20" s="143"/>
    </row>
    <row r="21" spans="1:15" ht="12.95" customHeight="1" x14ac:dyDescent="0.2">
      <c r="A21" s="67" t="s">
        <v>18</v>
      </c>
      <c r="B21" s="66" t="s">
        <v>72</v>
      </c>
      <c r="C21" s="68"/>
      <c r="D21" s="137"/>
      <c r="E21" s="137"/>
      <c r="F21" s="137"/>
      <c r="G21" s="137"/>
      <c r="H21" s="137"/>
      <c r="I21" s="66" t="s">
        <v>73</v>
      </c>
      <c r="J21" s="55"/>
      <c r="K21" s="55"/>
      <c r="L21" s="55"/>
      <c r="M21" s="55"/>
      <c r="N21" s="145"/>
      <c r="O21" s="143"/>
    </row>
    <row r="22" spans="1:15" ht="21" customHeight="1" x14ac:dyDescent="0.2">
      <c r="A22" s="67" t="s">
        <v>42</v>
      </c>
      <c r="B22" s="66" t="s">
        <v>726</v>
      </c>
      <c r="C22" s="425" t="s">
        <v>724</v>
      </c>
      <c r="D22" s="426" t="s">
        <v>724</v>
      </c>
      <c r="E22" s="426" t="s">
        <v>724</v>
      </c>
      <c r="F22" s="138">
        <v>1467523</v>
      </c>
      <c r="G22" s="138">
        <v>1467523</v>
      </c>
      <c r="H22" s="138">
        <v>1467523</v>
      </c>
      <c r="I22" s="64" t="s">
        <v>74</v>
      </c>
      <c r="J22" s="55"/>
      <c r="K22" s="55"/>
      <c r="L22" s="55"/>
      <c r="M22" s="55"/>
      <c r="N22" s="145"/>
      <c r="O22" s="143"/>
    </row>
    <row r="23" spans="1:15" ht="12.95" customHeight="1" x14ac:dyDescent="0.2">
      <c r="A23" s="67" t="s">
        <v>38</v>
      </c>
      <c r="B23" s="66" t="s">
        <v>75</v>
      </c>
      <c r="C23" s="69">
        <f>+C24+C25</f>
        <v>0</v>
      </c>
      <c r="D23" s="139"/>
      <c r="E23" s="139"/>
      <c r="F23" s="139"/>
      <c r="G23" s="139"/>
      <c r="H23" s="139"/>
      <c r="I23" s="66" t="s">
        <v>76</v>
      </c>
      <c r="J23" s="55"/>
      <c r="K23" s="55"/>
      <c r="L23" s="55"/>
      <c r="M23" s="55"/>
      <c r="N23" s="145"/>
      <c r="O23" s="143"/>
    </row>
    <row r="24" spans="1:15" ht="12.95" customHeight="1" x14ac:dyDescent="0.2">
      <c r="A24" s="63" t="s">
        <v>48</v>
      </c>
      <c r="B24" s="64" t="s">
        <v>77</v>
      </c>
      <c r="C24" s="70"/>
      <c r="D24" s="138"/>
      <c r="E24" s="138"/>
      <c r="F24" s="138"/>
      <c r="G24" s="138"/>
      <c r="H24" s="138"/>
      <c r="I24" s="47" t="s">
        <v>78</v>
      </c>
      <c r="J24" s="212"/>
      <c r="K24" s="212"/>
      <c r="L24" s="212"/>
      <c r="M24" s="212"/>
      <c r="N24" s="145"/>
      <c r="O24" s="217"/>
    </row>
    <row r="25" spans="1:15" ht="12.95" customHeight="1" thickBot="1" x14ac:dyDescent="0.25">
      <c r="A25" s="67" t="s">
        <v>79</v>
      </c>
      <c r="B25" s="66" t="s">
        <v>80</v>
      </c>
      <c r="C25" s="68"/>
      <c r="D25" s="137"/>
      <c r="E25" s="137"/>
      <c r="F25" s="137"/>
      <c r="G25" s="137"/>
      <c r="H25" s="137"/>
      <c r="I25" s="56" t="s">
        <v>155</v>
      </c>
      <c r="J25" s="173">
        <f>+'2. Kiadások'!E30</f>
        <v>1173636</v>
      </c>
      <c r="K25" s="441">
        <v>0</v>
      </c>
      <c r="L25" s="439">
        <v>0</v>
      </c>
      <c r="M25" s="439">
        <v>0</v>
      </c>
      <c r="N25" s="173">
        <f>+'2. Kiadások'!I30</f>
        <v>1173636</v>
      </c>
      <c r="O25" s="196">
        <f>+'2. Kiadások'!J30</f>
        <v>1173636</v>
      </c>
    </row>
    <row r="26" spans="1:15" ht="26.25" customHeight="1" thickBot="1" x14ac:dyDescent="0.25">
      <c r="A26" s="60" t="s">
        <v>81</v>
      </c>
      <c r="B26" s="61" t="s">
        <v>82</v>
      </c>
      <c r="C26" s="62">
        <f t="shared" ref="C26:H26" si="3">+C18+C23</f>
        <v>33048454</v>
      </c>
      <c r="D26" s="428">
        <f t="shared" si="3"/>
        <v>0</v>
      </c>
      <c r="E26" s="428">
        <f t="shared" si="3"/>
        <v>0</v>
      </c>
      <c r="F26" s="428">
        <f t="shared" si="3"/>
        <v>1467523</v>
      </c>
      <c r="G26" s="62">
        <f t="shared" si="3"/>
        <v>34515977</v>
      </c>
      <c r="H26" s="62">
        <f t="shared" si="3"/>
        <v>34515977</v>
      </c>
      <c r="I26" s="61" t="s">
        <v>83</v>
      </c>
      <c r="J26" s="211">
        <f>SUM(J18:J25)</f>
        <v>1173636</v>
      </c>
      <c r="K26" s="442">
        <f t="shared" ref="K26:M26" si="4">SUM(K18:K25)</f>
        <v>0</v>
      </c>
      <c r="L26" s="442">
        <f t="shared" si="4"/>
        <v>0</v>
      </c>
      <c r="M26" s="442">
        <f t="shared" si="4"/>
        <v>0</v>
      </c>
      <c r="N26" s="211">
        <f>SUM(N18:N25)</f>
        <v>1173636</v>
      </c>
      <c r="O26" s="216">
        <f>SUM(O18:O25)</f>
        <v>1173636</v>
      </c>
    </row>
    <row r="27" spans="1:15" ht="18" customHeight="1" thickBot="1" x14ac:dyDescent="0.25">
      <c r="A27" s="60" t="s">
        <v>84</v>
      </c>
      <c r="B27" s="71" t="s">
        <v>85</v>
      </c>
      <c r="C27" s="62">
        <f>+C17+C26</f>
        <v>119040327</v>
      </c>
      <c r="D27" s="62">
        <f t="shared" ref="D27:F27" si="5">+D17+D26</f>
        <v>338655</v>
      </c>
      <c r="E27" s="62">
        <f t="shared" si="5"/>
        <v>34301514</v>
      </c>
      <c r="F27" s="62">
        <f t="shared" si="5"/>
        <v>30992732</v>
      </c>
      <c r="G27" s="62">
        <f>+G17+G26</f>
        <v>184673228</v>
      </c>
      <c r="H27" s="62">
        <f>+H17+H26</f>
        <v>178269169</v>
      </c>
      <c r="I27" s="71" t="s">
        <v>86</v>
      </c>
      <c r="J27" s="211">
        <f>+J17+J26</f>
        <v>109230861</v>
      </c>
      <c r="K27" s="211">
        <f t="shared" ref="K27:M27" si="6">+K17+K26</f>
        <v>-162917</v>
      </c>
      <c r="L27" s="211">
        <f t="shared" si="6"/>
        <v>14541154</v>
      </c>
      <c r="M27" s="211">
        <f t="shared" si="6"/>
        <v>63800075</v>
      </c>
      <c r="N27" s="211">
        <f>+N17+N26</f>
        <v>187409173</v>
      </c>
      <c r="O27" s="216">
        <f>+O17+O26</f>
        <v>111607484</v>
      </c>
    </row>
    <row r="28" spans="1:15" ht="18" customHeight="1" thickBot="1" x14ac:dyDescent="0.25">
      <c r="A28" s="60" t="s">
        <v>87</v>
      </c>
      <c r="B28" s="61" t="s">
        <v>88</v>
      </c>
      <c r="C28" s="72"/>
      <c r="D28" s="140"/>
      <c r="E28" s="140"/>
      <c r="F28" s="140"/>
      <c r="G28" s="140"/>
      <c r="H28" s="140"/>
      <c r="I28" s="61" t="s">
        <v>89</v>
      </c>
      <c r="J28" s="213"/>
      <c r="K28" s="443"/>
      <c r="L28" s="443"/>
      <c r="M28" s="443"/>
      <c r="N28" s="215"/>
      <c r="O28" s="218"/>
    </row>
    <row r="29" spans="1:15" ht="13.5" thickBot="1" x14ac:dyDescent="0.25">
      <c r="A29" s="60" t="s">
        <v>90</v>
      </c>
      <c r="B29" s="73" t="s">
        <v>91</v>
      </c>
      <c r="C29" s="74">
        <f>+C27+C28</f>
        <v>119040327</v>
      </c>
      <c r="D29" s="74">
        <f t="shared" ref="D29:F29" si="7">+D27+D28</f>
        <v>338655</v>
      </c>
      <c r="E29" s="74">
        <f t="shared" si="7"/>
        <v>34301514</v>
      </c>
      <c r="F29" s="74">
        <f t="shared" si="7"/>
        <v>30992732</v>
      </c>
      <c r="G29" s="74">
        <f>+G27+G28</f>
        <v>184673228</v>
      </c>
      <c r="H29" s="74">
        <f>+H27+H28</f>
        <v>178269169</v>
      </c>
      <c r="I29" s="73" t="s">
        <v>92</v>
      </c>
      <c r="J29" s="214">
        <f>+J27+J28</f>
        <v>109230861</v>
      </c>
      <c r="K29" s="214">
        <f t="shared" ref="K29:M29" si="8">+K27+K28</f>
        <v>-162917</v>
      </c>
      <c r="L29" s="214">
        <f t="shared" si="8"/>
        <v>14541154</v>
      </c>
      <c r="M29" s="214">
        <f t="shared" si="8"/>
        <v>63800075</v>
      </c>
      <c r="N29" s="214">
        <f>+N27+N28</f>
        <v>187409173</v>
      </c>
      <c r="O29" s="214">
        <f>+O27+O28</f>
        <v>111607484</v>
      </c>
    </row>
    <row r="30" spans="1:15" ht="13.5" thickBot="1" x14ac:dyDescent="0.25">
      <c r="A30" s="60" t="s">
        <v>93</v>
      </c>
      <c r="B30" s="73" t="s">
        <v>431</v>
      </c>
      <c r="C30" s="74">
        <f>IF(C17-J17&lt;0,J17-C17,"-")</f>
        <v>22065352</v>
      </c>
      <c r="D30" s="74"/>
      <c r="E30" s="74"/>
      <c r="F30" s="74"/>
      <c r="G30" s="74"/>
      <c r="H30" s="74" t="str">
        <f>IF(H18-O18&lt;0,O18-H18,"-")</f>
        <v>-</v>
      </c>
      <c r="I30" s="73" t="s">
        <v>433</v>
      </c>
      <c r="J30" s="74"/>
      <c r="K30" s="432"/>
      <c r="L30" s="432"/>
      <c r="M30" s="432"/>
      <c r="N30" s="74">
        <v>0</v>
      </c>
      <c r="O30" s="74">
        <f>IF(O17-H17&lt;0,H17-O17,"-")</f>
        <v>33319344</v>
      </c>
    </row>
    <row r="31" spans="1:15" ht="13.5" thickBot="1" x14ac:dyDescent="0.25">
      <c r="A31" s="60" t="s">
        <v>94</v>
      </c>
      <c r="B31" s="73" t="s">
        <v>432</v>
      </c>
      <c r="C31" s="74" t="str">
        <f>IF(C29-J29&lt;0,J29-C29,"-")</f>
        <v>-</v>
      </c>
      <c r="D31" s="74"/>
      <c r="E31" s="74"/>
      <c r="F31" s="74"/>
      <c r="G31" s="74"/>
      <c r="H31" s="74" t="str">
        <f>IF(H29-O29&lt;0,O29-H29,"-")</f>
        <v>-</v>
      </c>
      <c r="I31" s="73" t="s">
        <v>434</v>
      </c>
      <c r="J31" s="74">
        <v>9809466</v>
      </c>
      <c r="K31" s="432"/>
      <c r="L31" s="432"/>
      <c r="M31" s="432"/>
      <c r="N31" s="74" t="str">
        <f t="shared" ref="N31" si="9">IF(N29-G29-N30&lt;0,G29-N30-N29,"-")</f>
        <v>-</v>
      </c>
      <c r="O31" s="74">
        <v>66661685</v>
      </c>
    </row>
  </sheetData>
  <mergeCells count="1">
    <mergeCell ref="A3:A4"/>
  </mergeCells>
  <phoneticPr fontId="6" type="noConversion"/>
  <pageMargins left="0.25" right="0.25" top="0.75" bottom="0.75" header="0.3" footer="0.3"/>
  <pageSetup paperSize="9" scale="56" orientation="landscape" r:id="rId1"/>
  <headerFooter>
    <oddHeader>&amp;R3a.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O36"/>
  <sheetViews>
    <sheetView zoomScaleNormal="100" workbookViewId="0">
      <selection activeCell="I40" sqref="I40"/>
    </sheetView>
  </sheetViews>
  <sheetFormatPr defaultRowHeight="12.75" x14ac:dyDescent="0.2"/>
  <cols>
    <col min="1" max="1" width="5.85546875" style="36" customWidth="1"/>
    <col min="2" max="2" width="44.7109375" style="39" customWidth="1"/>
    <col min="3" max="6" width="14" style="105" customWidth="1"/>
    <col min="7" max="7" width="13.28515625" style="105" customWidth="1"/>
    <col min="8" max="8" width="13.5703125" style="105" customWidth="1"/>
    <col min="9" max="9" width="45.85546875" style="36" customWidth="1"/>
    <col min="10" max="13" width="14" style="36" customWidth="1"/>
    <col min="14" max="14" width="12.85546875" style="36" customWidth="1"/>
    <col min="15" max="15" width="14" style="36" customWidth="1"/>
    <col min="16" max="17" width="9.140625" style="36"/>
    <col min="18" max="18" width="14.5703125" style="36" customWidth="1"/>
    <col min="19" max="19" width="12.42578125" style="36" customWidth="1"/>
    <col min="20" max="20" width="13.42578125" style="36" customWidth="1"/>
    <col min="21" max="16384" width="9.140625" style="36"/>
  </cols>
  <sheetData>
    <row r="1" spans="1:15" ht="31.5" customHeight="1" x14ac:dyDescent="0.2">
      <c r="B1" s="37" t="s">
        <v>476</v>
      </c>
      <c r="C1" s="104"/>
      <c r="D1" s="104"/>
      <c r="E1" s="104"/>
      <c r="F1" s="104"/>
      <c r="G1" s="104"/>
      <c r="H1" s="104"/>
      <c r="I1" s="38"/>
      <c r="J1" s="38"/>
      <c r="K1" s="38"/>
      <c r="L1" s="38"/>
      <c r="M1" s="38"/>
      <c r="N1" s="38"/>
      <c r="O1" s="38"/>
    </row>
    <row r="2" spans="1:15" ht="14.25" thickBot="1" x14ac:dyDescent="0.25">
      <c r="J2" s="40"/>
      <c r="K2" s="40"/>
      <c r="L2" s="40"/>
      <c r="M2" s="40"/>
      <c r="N2" s="40"/>
      <c r="O2" s="40" t="s">
        <v>157</v>
      </c>
    </row>
    <row r="3" spans="1:15" ht="13.5" thickBot="1" x14ac:dyDescent="0.25">
      <c r="A3" s="497" t="s">
        <v>52</v>
      </c>
      <c r="B3" s="41" t="s">
        <v>53</v>
      </c>
      <c r="C3" s="42"/>
      <c r="D3" s="133"/>
      <c r="E3" s="133"/>
      <c r="F3" s="133"/>
      <c r="G3" s="133"/>
      <c r="H3" s="133"/>
      <c r="I3" s="41" t="s">
        <v>54</v>
      </c>
      <c r="J3" s="43"/>
      <c r="K3" s="43"/>
      <c r="L3" s="43"/>
      <c r="M3" s="43"/>
      <c r="N3" s="43"/>
      <c r="O3" s="43"/>
    </row>
    <row r="4" spans="1:15" s="45" customFormat="1" ht="24.75" thickBot="1" x14ac:dyDescent="0.25">
      <c r="A4" s="498"/>
      <c r="B4" s="44" t="s">
        <v>25</v>
      </c>
      <c r="C4" s="220" t="s">
        <v>474</v>
      </c>
      <c r="D4" s="422" t="s">
        <v>528</v>
      </c>
      <c r="E4" s="422" t="s">
        <v>487</v>
      </c>
      <c r="F4" s="422" t="s">
        <v>488</v>
      </c>
      <c r="G4" s="141" t="s">
        <v>217</v>
      </c>
      <c r="H4" s="141" t="s">
        <v>218</v>
      </c>
      <c r="I4" s="44" t="s">
        <v>25</v>
      </c>
      <c r="J4" s="219" t="s">
        <v>474</v>
      </c>
      <c r="K4" s="423" t="s">
        <v>528</v>
      </c>
      <c r="L4" s="423" t="s">
        <v>487</v>
      </c>
      <c r="M4" s="423" t="s">
        <v>488</v>
      </c>
      <c r="N4" s="141" t="s">
        <v>217</v>
      </c>
      <c r="O4" s="141" t="s">
        <v>218</v>
      </c>
    </row>
    <row r="5" spans="1:15" ht="12.95" customHeight="1" x14ac:dyDescent="0.2">
      <c r="A5" s="46" t="s">
        <v>26</v>
      </c>
      <c r="B5" s="193" t="s">
        <v>95</v>
      </c>
      <c r="C5" s="429">
        <v>0</v>
      </c>
      <c r="D5" s="429">
        <v>175900</v>
      </c>
      <c r="E5" s="429">
        <v>0</v>
      </c>
      <c r="F5" s="429">
        <v>240354</v>
      </c>
      <c r="G5" s="182">
        <f>+'1. Bevételek'!I42+'1. Bevételek'!I43</f>
        <v>416254</v>
      </c>
      <c r="H5" s="194">
        <f>+'1. Bevételek'!J42+'1. Bevételek'!J43</f>
        <v>416254</v>
      </c>
      <c r="I5" s="192" t="s">
        <v>96</v>
      </c>
      <c r="J5" s="49">
        <f>+'2. Kiadások'!E20</f>
        <v>1737465</v>
      </c>
      <c r="K5" s="444">
        <v>561987</v>
      </c>
      <c r="L5" s="194">
        <v>19760360</v>
      </c>
      <c r="M5" s="194">
        <v>1505914</v>
      </c>
      <c r="N5" s="49">
        <f>+'2. Kiadások'!I20</f>
        <v>23565726</v>
      </c>
      <c r="O5" s="49">
        <f>+'2. Kiadások'!J20</f>
        <v>23565726</v>
      </c>
    </row>
    <row r="6" spans="1:15" ht="12.95" customHeight="1" x14ac:dyDescent="0.2">
      <c r="A6" s="46" t="s">
        <v>27</v>
      </c>
      <c r="B6" s="75" t="s">
        <v>97</v>
      </c>
      <c r="C6" s="48">
        <f>+'1. Bevételek'!E48</f>
        <v>0</v>
      </c>
      <c r="D6" s="48"/>
      <c r="E6" s="48"/>
      <c r="F6" s="48"/>
      <c r="G6" s="48">
        <f>+'1. Bevételek'!I48</f>
        <v>0</v>
      </c>
      <c r="H6" s="49">
        <f>+'1. Bevételek'!J48</f>
        <v>0</v>
      </c>
      <c r="I6" s="192" t="s">
        <v>231</v>
      </c>
      <c r="J6" s="49"/>
      <c r="K6" s="49"/>
      <c r="L6" s="49"/>
      <c r="M6" s="49"/>
      <c r="N6" s="49"/>
      <c r="O6" s="49"/>
    </row>
    <row r="7" spans="1:15" ht="22.5" customHeight="1" x14ac:dyDescent="0.2">
      <c r="A7" s="46" t="s">
        <v>28</v>
      </c>
      <c r="B7" s="51" t="s">
        <v>98</v>
      </c>
      <c r="C7" s="52"/>
      <c r="D7" s="134"/>
      <c r="E7" s="134"/>
      <c r="F7" s="134"/>
      <c r="G7" s="134"/>
      <c r="H7" s="143"/>
      <c r="I7" s="168" t="s">
        <v>99</v>
      </c>
      <c r="J7" s="53">
        <f>+'2. Kiadások'!E22</f>
        <v>1388250</v>
      </c>
      <c r="K7" s="53">
        <v>-44684</v>
      </c>
      <c r="L7" s="438">
        <v>0</v>
      </c>
      <c r="M7" s="53">
        <v>408725</v>
      </c>
      <c r="N7" s="53">
        <f>+'2. Kiadások'!I22</f>
        <v>1752291</v>
      </c>
      <c r="O7" s="53">
        <f>+'2. Kiadások'!J22</f>
        <v>1752291</v>
      </c>
    </row>
    <row r="8" spans="1:15" ht="12.95" customHeight="1" x14ac:dyDescent="0.2">
      <c r="A8" s="46" t="s">
        <v>29</v>
      </c>
      <c r="B8" s="51" t="s">
        <v>100</v>
      </c>
      <c r="C8" s="52"/>
      <c r="D8" s="134"/>
      <c r="E8" s="134"/>
      <c r="F8" s="134"/>
      <c r="G8" s="134"/>
      <c r="H8" s="143"/>
      <c r="I8" s="168" t="s">
        <v>101</v>
      </c>
      <c r="J8" s="53">
        <f>+'2. Kiadások'!E26</f>
        <v>6683751</v>
      </c>
      <c r="K8" s="53">
        <v>160169</v>
      </c>
      <c r="L8" s="438">
        <v>0</v>
      </c>
      <c r="M8" s="53">
        <v>84706</v>
      </c>
      <c r="N8" s="53">
        <f>+'2. Kiadások'!I26</f>
        <v>6928626</v>
      </c>
      <c r="O8" s="53">
        <f>+'2. Kiadások'!J26</f>
        <v>6928626</v>
      </c>
    </row>
    <row r="9" spans="1:15" ht="12.95" customHeight="1" x14ac:dyDescent="0.2">
      <c r="A9" s="46" t="s">
        <v>30</v>
      </c>
      <c r="B9" s="51" t="s">
        <v>102</v>
      </c>
      <c r="C9" s="52"/>
      <c r="D9" s="134"/>
      <c r="E9" s="134"/>
      <c r="F9" s="134"/>
      <c r="G9" s="134"/>
      <c r="H9" s="143"/>
      <c r="I9" s="168" t="s">
        <v>103</v>
      </c>
      <c r="J9" s="53">
        <v>5705751</v>
      </c>
      <c r="K9" s="53">
        <v>160169</v>
      </c>
      <c r="L9" s="438">
        <v>0</v>
      </c>
      <c r="M9" s="438">
        <v>84700</v>
      </c>
      <c r="N9" s="53">
        <v>5950620</v>
      </c>
      <c r="O9" s="53">
        <v>5950620</v>
      </c>
    </row>
    <row r="10" spans="1:15" ht="12.75" customHeight="1" x14ac:dyDescent="0.2">
      <c r="A10" s="46" t="s">
        <v>32</v>
      </c>
      <c r="B10" s="51" t="s">
        <v>104</v>
      </c>
      <c r="C10" s="52"/>
      <c r="D10" s="52"/>
      <c r="E10" s="52"/>
      <c r="F10" s="52"/>
      <c r="G10" s="52"/>
      <c r="H10" s="53"/>
      <c r="I10" s="168" t="s">
        <v>105</v>
      </c>
      <c r="J10" s="53">
        <f>+'2. Kiadások'!E25</f>
        <v>978000</v>
      </c>
      <c r="K10" s="438">
        <v>0</v>
      </c>
      <c r="L10" s="438">
        <v>0</v>
      </c>
      <c r="M10" s="438">
        <v>6</v>
      </c>
      <c r="N10" s="53">
        <f>+'2. Kiadások'!I25</f>
        <v>978006</v>
      </c>
      <c r="O10" s="53">
        <f>+'2. Kiadások'!J25</f>
        <v>978006</v>
      </c>
    </row>
    <row r="11" spans="1:15" ht="12.95" customHeight="1" x14ac:dyDescent="0.2">
      <c r="A11" s="46" t="s">
        <v>34</v>
      </c>
      <c r="B11" s="51" t="s">
        <v>230</v>
      </c>
      <c r="C11" s="52"/>
      <c r="D11" s="52"/>
      <c r="E11" s="52"/>
      <c r="F11" s="52"/>
      <c r="G11" s="52"/>
      <c r="H11" s="53"/>
      <c r="I11" s="169" t="s">
        <v>106</v>
      </c>
      <c r="J11" s="53"/>
      <c r="K11" s="53"/>
      <c r="L11" s="53"/>
      <c r="M11" s="53"/>
      <c r="N11" s="53"/>
      <c r="O11" s="53"/>
    </row>
    <row r="12" spans="1:15" ht="12.95" customHeight="1" x14ac:dyDescent="0.2">
      <c r="A12" s="46" t="s">
        <v>35</v>
      </c>
      <c r="B12" s="51" t="s">
        <v>107</v>
      </c>
      <c r="C12" s="52"/>
      <c r="D12" s="52"/>
      <c r="E12" s="52"/>
      <c r="F12" s="52"/>
      <c r="G12" s="52"/>
      <c r="H12" s="53"/>
      <c r="I12" s="169" t="s">
        <v>108</v>
      </c>
      <c r="J12" s="53"/>
      <c r="K12" s="53"/>
      <c r="L12" s="53"/>
      <c r="M12" s="53"/>
      <c r="N12" s="53"/>
      <c r="O12" s="53"/>
    </row>
    <row r="13" spans="1:15" ht="12.95" customHeight="1" x14ac:dyDescent="0.2">
      <c r="A13" s="46" t="s">
        <v>36</v>
      </c>
      <c r="B13" s="51" t="s">
        <v>109</v>
      </c>
      <c r="C13" s="430">
        <f>'1. Bevételek'!E20</f>
        <v>0</v>
      </c>
      <c r="D13" s="430">
        <v>0</v>
      </c>
      <c r="E13" s="430">
        <v>0</v>
      </c>
      <c r="F13" s="430">
        <v>34566334</v>
      </c>
      <c r="G13" s="52">
        <f>'1. Bevételek'!I20</f>
        <v>34566334</v>
      </c>
      <c r="H13" s="53">
        <f>'1. Bevételek'!J20</f>
        <v>34566334</v>
      </c>
      <c r="I13" s="170" t="s">
        <v>110</v>
      </c>
      <c r="J13" s="53"/>
      <c r="K13" s="53"/>
      <c r="L13" s="53"/>
      <c r="M13" s="53"/>
      <c r="N13" s="53"/>
      <c r="O13" s="53"/>
    </row>
    <row r="14" spans="1:15" ht="12.95" customHeight="1" x14ac:dyDescent="0.2">
      <c r="A14" s="46" t="s">
        <v>37</v>
      </c>
      <c r="B14" s="76" t="s">
        <v>111</v>
      </c>
      <c r="C14" s="52"/>
      <c r="D14" s="52"/>
      <c r="E14" s="52"/>
      <c r="F14" s="52"/>
      <c r="G14" s="52"/>
      <c r="H14" s="53"/>
      <c r="I14" s="169" t="s">
        <v>112</v>
      </c>
      <c r="J14" s="53"/>
      <c r="K14" s="53"/>
      <c r="L14" s="53"/>
      <c r="M14" s="53"/>
      <c r="N14" s="53"/>
      <c r="O14" s="53"/>
    </row>
    <row r="15" spans="1:15" ht="22.5" customHeight="1" x14ac:dyDescent="0.2">
      <c r="A15" s="46" t="s">
        <v>15</v>
      </c>
      <c r="B15" s="51" t="s">
        <v>113</v>
      </c>
      <c r="C15" s="52"/>
      <c r="D15" s="52"/>
      <c r="E15" s="52"/>
      <c r="F15" s="52"/>
      <c r="G15" s="52"/>
      <c r="H15" s="53"/>
      <c r="I15" s="169" t="s">
        <v>114</v>
      </c>
      <c r="J15" s="53"/>
      <c r="K15" s="53"/>
      <c r="L15" s="53"/>
      <c r="M15" s="53"/>
      <c r="N15" s="53"/>
      <c r="O15" s="53"/>
    </row>
    <row r="16" spans="1:15" ht="12.95" customHeight="1" x14ac:dyDescent="0.2">
      <c r="A16" s="46" t="s">
        <v>16</v>
      </c>
      <c r="B16" s="51" t="s">
        <v>115</v>
      </c>
      <c r="C16" s="52"/>
      <c r="D16" s="52"/>
      <c r="E16" s="52"/>
      <c r="F16" s="52"/>
      <c r="G16" s="52"/>
      <c r="H16" s="53"/>
      <c r="I16" s="168" t="s">
        <v>61</v>
      </c>
      <c r="J16" s="53"/>
      <c r="K16" s="53"/>
      <c r="L16" s="53"/>
      <c r="M16" s="53"/>
      <c r="N16" s="53"/>
      <c r="O16" s="53"/>
    </row>
    <row r="17" spans="1:15" ht="12.95" customHeight="1" thickBot="1" x14ac:dyDescent="0.25">
      <c r="A17" s="46" t="s">
        <v>20</v>
      </c>
      <c r="B17" s="195" t="s">
        <v>229</v>
      </c>
      <c r="C17" s="173"/>
      <c r="D17" s="173"/>
      <c r="E17" s="173"/>
      <c r="F17" s="173"/>
      <c r="G17" s="173"/>
      <c r="H17" s="196"/>
      <c r="I17" s="171" t="s">
        <v>8</v>
      </c>
      <c r="J17" s="445">
        <v>0</v>
      </c>
      <c r="K17" s="445"/>
      <c r="L17" s="445"/>
      <c r="M17" s="445"/>
      <c r="N17" s="445">
        <v>0</v>
      </c>
      <c r="O17" s="445">
        <v>0</v>
      </c>
    </row>
    <row r="18" spans="1:15" ht="15.95" customHeight="1" thickBot="1" x14ac:dyDescent="0.25">
      <c r="A18" s="60" t="s">
        <v>20</v>
      </c>
      <c r="B18" s="61" t="s">
        <v>116</v>
      </c>
      <c r="C18" s="431">
        <f>C5+C6+C7+C8+C9+C10+C11+C12+C13+C15+C16+C17</f>
        <v>0</v>
      </c>
      <c r="D18" s="431">
        <f t="shared" ref="D18:F18" si="0">D5+D6+D7+D8+D9+D10+D11+D12+D13+D15+D16+D17</f>
        <v>175900</v>
      </c>
      <c r="E18" s="431">
        <f t="shared" si="0"/>
        <v>0</v>
      </c>
      <c r="F18" s="431">
        <f t="shared" si="0"/>
        <v>34806688</v>
      </c>
      <c r="G18" s="172">
        <f>G5+G6+G7+G8+G9+G10+G11+G12+G13+G15+G16+G17</f>
        <v>34982588</v>
      </c>
      <c r="H18" s="172">
        <f>H5+H6+H7+H8+H9+H10+H11+H12+H13+H15+H16+H17</f>
        <v>34982588</v>
      </c>
      <c r="I18" s="61" t="s">
        <v>6</v>
      </c>
      <c r="J18" s="211">
        <f>+J5+J7+J8+J16+J17</f>
        <v>9809466</v>
      </c>
      <c r="K18" s="442">
        <f>K5+K7+K8+K16+K17</f>
        <v>677472</v>
      </c>
      <c r="L18" s="442">
        <f t="shared" ref="L18:M18" si="1">L5+L7+L8+L16+L17</f>
        <v>19760360</v>
      </c>
      <c r="M18" s="442">
        <f t="shared" si="1"/>
        <v>1999345</v>
      </c>
      <c r="N18" s="211">
        <f>+N5+N7+N8+N16+N17+N6</f>
        <v>32246643</v>
      </c>
      <c r="O18" s="211">
        <f>+O5+O7+O8+O16+O17+O6</f>
        <v>32246643</v>
      </c>
    </row>
    <row r="19" spans="1:15" ht="12.95" customHeight="1" x14ac:dyDescent="0.2">
      <c r="A19" s="77" t="s">
        <v>17</v>
      </c>
      <c r="B19" s="78" t="s">
        <v>117</v>
      </c>
      <c r="C19" s="79">
        <f>+C20+C21+C22+C23+C24</f>
        <v>0</v>
      </c>
      <c r="D19" s="79"/>
      <c r="E19" s="79"/>
      <c r="F19" s="79"/>
      <c r="G19" s="79">
        <f>+G20+G21+G22+G23+G24</f>
        <v>0</v>
      </c>
      <c r="H19" s="79">
        <f>+H20+H21+H22+H23+H24</f>
        <v>0</v>
      </c>
      <c r="I19" s="66" t="s">
        <v>68</v>
      </c>
      <c r="J19" s="49"/>
      <c r="K19" s="49"/>
      <c r="L19" s="49"/>
      <c r="M19" s="49"/>
      <c r="N19" s="49"/>
      <c r="O19" s="49"/>
    </row>
    <row r="20" spans="1:15" ht="12.95" customHeight="1" x14ac:dyDescent="0.2">
      <c r="A20" s="50" t="s">
        <v>40</v>
      </c>
      <c r="B20" s="80" t="s">
        <v>118</v>
      </c>
      <c r="C20" s="68"/>
      <c r="D20" s="137"/>
      <c r="E20" s="137"/>
      <c r="F20" s="137"/>
      <c r="G20" s="137"/>
      <c r="H20" s="137"/>
      <c r="I20" s="66" t="s">
        <v>119</v>
      </c>
      <c r="J20" s="53"/>
      <c r="K20" s="53"/>
      <c r="L20" s="53"/>
      <c r="M20" s="53"/>
      <c r="N20" s="53"/>
      <c r="O20" s="53"/>
    </row>
    <row r="21" spans="1:15" ht="12.95" customHeight="1" x14ac:dyDescent="0.2">
      <c r="A21" s="77" t="s">
        <v>41</v>
      </c>
      <c r="B21" s="80" t="s">
        <v>120</v>
      </c>
      <c r="C21" s="68"/>
      <c r="D21" s="137"/>
      <c r="E21" s="137"/>
      <c r="F21" s="137"/>
      <c r="G21" s="137"/>
      <c r="H21" s="137"/>
      <c r="I21" s="66" t="s">
        <v>71</v>
      </c>
      <c r="J21" s="53"/>
      <c r="K21" s="53"/>
      <c r="L21" s="53"/>
      <c r="M21" s="53"/>
      <c r="N21" s="53"/>
      <c r="O21" s="53"/>
    </row>
    <row r="22" spans="1:15" ht="12.95" customHeight="1" x14ac:dyDescent="0.2">
      <c r="A22" s="50" t="s">
        <v>18</v>
      </c>
      <c r="B22" s="80" t="s">
        <v>121</v>
      </c>
      <c r="C22" s="68"/>
      <c r="D22" s="137"/>
      <c r="E22" s="137"/>
      <c r="F22" s="137"/>
      <c r="G22" s="137"/>
      <c r="H22" s="137"/>
      <c r="I22" s="66" t="s">
        <v>73</v>
      </c>
      <c r="J22" s="53"/>
      <c r="K22" s="53"/>
      <c r="L22" s="53"/>
      <c r="M22" s="53"/>
      <c r="N22" s="53"/>
      <c r="O22" s="53"/>
    </row>
    <row r="23" spans="1:15" ht="12.95" customHeight="1" x14ac:dyDescent="0.2">
      <c r="A23" s="77" t="s">
        <v>42</v>
      </c>
      <c r="B23" s="80" t="s">
        <v>122</v>
      </c>
      <c r="C23" s="68"/>
      <c r="D23" s="138"/>
      <c r="E23" s="138"/>
      <c r="F23" s="138"/>
      <c r="G23" s="138"/>
      <c r="H23" s="138"/>
      <c r="I23" s="64" t="s">
        <v>9</v>
      </c>
      <c r="J23" s="53"/>
      <c r="K23" s="53"/>
      <c r="L23" s="53"/>
      <c r="M23" s="53"/>
      <c r="N23" s="53"/>
      <c r="O23" s="53"/>
    </row>
    <row r="24" spans="1:15" ht="12.95" customHeight="1" x14ac:dyDescent="0.2">
      <c r="A24" s="50" t="s">
        <v>38</v>
      </c>
      <c r="B24" s="81" t="s">
        <v>123</v>
      </c>
      <c r="C24" s="68"/>
      <c r="D24" s="137"/>
      <c r="E24" s="137"/>
      <c r="F24" s="137"/>
      <c r="G24" s="137"/>
      <c r="H24" s="137"/>
      <c r="I24" s="66" t="s">
        <v>124</v>
      </c>
      <c r="J24" s="53"/>
      <c r="K24" s="53"/>
      <c r="L24" s="53"/>
      <c r="M24" s="53"/>
      <c r="N24" s="53"/>
      <c r="O24" s="53"/>
    </row>
    <row r="25" spans="1:15" ht="12.95" customHeight="1" x14ac:dyDescent="0.2">
      <c r="A25" s="77" t="s">
        <v>48</v>
      </c>
      <c r="B25" s="82" t="s">
        <v>125</v>
      </c>
      <c r="C25" s="69">
        <f>+C26+C27+C28+C29+C30</f>
        <v>0</v>
      </c>
      <c r="D25" s="69"/>
      <c r="E25" s="69"/>
      <c r="F25" s="69"/>
      <c r="G25" s="69">
        <f>+G26+G27+G28+G29+G30</f>
        <v>0</v>
      </c>
      <c r="H25" s="69">
        <f>+H26+H27+H28+H29+H30</f>
        <v>0</v>
      </c>
      <c r="I25" s="83" t="s">
        <v>126</v>
      </c>
      <c r="J25" s="53"/>
      <c r="K25" s="53"/>
      <c r="L25" s="53"/>
      <c r="M25" s="53"/>
      <c r="N25" s="53"/>
      <c r="O25" s="53"/>
    </row>
    <row r="26" spans="1:15" ht="12.95" customHeight="1" x14ac:dyDescent="0.2">
      <c r="A26" s="50" t="s">
        <v>79</v>
      </c>
      <c r="B26" s="81" t="s">
        <v>127</v>
      </c>
      <c r="C26" s="68"/>
      <c r="D26" s="147"/>
      <c r="E26" s="147"/>
      <c r="F26" s="147"/>
      <c r="G26" s="147"/>
      <c r="H26" s="147"/>
      <c r="I26" s="83" t="s">
        <v>128</v>
      </c>
      <c r="J26" s="53"/>
      <c r="K26" s="53"/>
      <c r="L26" s="53"/>
      <c r="M26" s="53"/>
      <c r="N26" s="53"/>
      <c r="O26" s="53"/>
    </row>
    <row r="27" spans="1:15" ht="12.95" customHeight="1" x14ac:dyDescent="0.2">
      <c r="A27" s="77" t="s">
        <v>81</v>
      </c>
      <c r="B27" s="81" t="s">
        <v>129</v>
      </c>
      <c r="C27" s="68"/>
      <c r="D27" s="147"/>
      <c r="E27" s="147"/>
      <c r="F27" s="147"/>
      <c r="G27" s="147"/>
      <c r="H27" s="147"/>
      <c r="I27" s="84" t="s">
        <v>400</v>
      </c>
      <c r="J27" s="53"/>
      <c r="K27" s="53"/>
      <c r="L27" s="53"/>
      <c r="M27" s="53"/>
      <c r="N27" s="53"/>
      <c r="O27" s="53"/>
    </row>
    <row r="28" spans="1:15" ht="12.95" customHeight="1" x14ac:dyDescent="0.2">
      <c r="A28" s="50" t="s">
        <v>84</v>
      </c>
      <c r="B28" s="80" t="s">
        <v>130</v>
      </c>
      <c r="C28" s="68"/>
      <c r="D28" s="147"/>
      <c r="E28" s="147"/>
      <c r="F28" s="147"/>
      <c r="G28" s="147"/>
      <c r="H28" s="147"/>
      <c r="I28" s="85"/>
      <c r="J28" s="53"/>
      <c r="K28" s="53"/>
      <c r="L28" s="53"/>
      <c r="M28" s="53"/>
      <c r="N28" s="53"/>
      <c r="O28" s="53"/>
    </row>
    <row r="29" spans="1:15" ht="12.95" customHeight="1" x14ac:dyDescent="0.2">
      <c r="A29" s="77" t="s">
        <v>87</v>
      </c>
      <c r="B29" s="86" t="s">
        <v>131</v>
      </c>
      <c r="C29" s="68"/>
      <c r="D29" s="137"/>
      <c r="E29" s="137"/>
      <c r="F29" s="137"/>
      <c r="G29" s="137"/>
      <c r="H29" s="137"/>
      <c r="I29" s="56"/>
      <c r="J29" s="53"/>
      <c r="K29" s="53"/>
      <c r="L29" s="53"/>
      <c r="M29" s="53"/>
      <c r="N29" s="53"/>
      <c r="O29" s="53"/>
    </row>
    <row r="30" spans="1:15" ht="12.95" customHeight="1" thickBot="1" x14ac:dyDescent="0.25">
      <c r="A30" s="50" t="s">
        <v>90</v>
      </c>
      <c r="B30" s="87" t="s">
        <v>132</v>
      </c>
      <c r="C30" s="68"/>
      <c r="D30" s="147"/>
      <c r="E30" s="147"/>
      <c r="F30" s="147"/>
      <c r="G30" s="147"/>
      <c r="H30" s="147"/>
      <c r="I30" s="85"/>
      <c r="J30" s="53"/>
      <c r="K30" s="53"/>
      <c r="L30" s="53"/>
      <c r="M30" s="53"/>
      <c r="N30" s="53"/>
      <c r="O30" s="53"/>
    </row>
    <row r="31" spans="1:15" ht="21.75" customHeight="1" thickBot="1" x14ac:dyDescent="0.25">
      <c r="A31" s="60" t="s">
        <v>93</v>
      </c>
      <c r="B31" s="61" t="s">
        <v>133</v>
      </c>
      <c r="C31" s="428">
        <f>+C19+C25</f>
        <v>0</v>
      </c>
      <c r="D31" s="428">
        <f t="shared" ref="D31:H31" si="2">+D19+D25</f>
        <v>0</v>
      </c>
      <c r="E31" s="428">
        <f t="shared" si="2"/>
        <v>0</v>
      </c>
      <c r="F31" s="428">
        <f t="shared" si="2"/>
        <v>0</v>
      </c>
      <c r="G31" s="428">
        <f t="shared" si="2"/>
        <v>0</v>
      </c>
      <c r="H31" s="428">
        <f t="shared" si="2"/>
        <v>0</v>
      </c>
      <c r="I31" s="61" t="s">
        <v>134</v>
      </c>
      <c r="J31" s="211">
        <f>SUM(J19:J30)</f>
        <v>0</v>
      </c>
      <c r="K31" s="211"/>
      <c r="L31" s="211"/>
      <c r="M31" s="211"/>
      <c r="N31" s="211">
        <f>SUM(N19:N30)</f>
        <v>0</v>
      </c>
      <c r="O31" s="211">
        <f>SUM(O19:O30)</f>
        <v>0</v>
      </c>
    </row>
    <row r="32" spans="1:15" ht="24.75" thickBot="1" x14ac:dyDescent="0.25">
      <c r="A32" s="60" t="s">
        <v>94</v>
      </c>
      <c r="B32" s="71" t="s">
        <v>135</v>
      </c>
      <c r="C32" s="428">
        <f>+C18+C31</f>
        <v>0</v>
      </c>
      <c r="D32" s="428">
        <f t="shared" ref="D32:F32" si="3">+D18+D31</f>
        <v>175900</v>
      </c>
      <c r="E32" s="428">
        <f t="shared" si="3"/>
        <v>0</v>
      </c>
      <c r="F32" s="428">
        <f t="shared" si="3"/>
        <v>34806688</v>
      </c>
      <c r="G32" s="62">
        <f>+G18+G31</f>
        <v>34982588</v>
      </c>
      <c r="H32" s="62">
        <f>+H18+H31</f>
        <v>34982588</v>
      </c>
      <c r="I32" s="71" t="s">
        <v>136</v>
      </c>
      <c r="J32" s="211">
        <f>+J18+J31</f>
        <v>9809466</v>
      </c>
      <c r="K32" s="211">
        <f t="shared" ref="K32:M32" si="4">+K18+K31</f>
        <v>677472</v>
      </c>
      <c r="L32" s="211">
        <f t="shared" si="4"/>
        <v>19760360</v>
      </c>
      <c r="M32" s="211">
        <f t="shared" si="4"/>
        <v>1999345</v>
      </c>
      <c r="N32" s="211">
        <f>+N18+N31</f>
        <v>32246643</v>
      </c>
      <c r="O32" s="211">
        <f>+O18+O31</f>
        <v>32246643</v>
      </c>
    </row>
    <row r="33" spans="1:15" ht="18" customHeight="1" thickBot="1" x14ac:dyDescent="0.25">
      <c r="A33" s="60" t="s">
        <v>137</v>
      </c>
      <c r="B33" s="61" t="s">
        <v>88</v>
      </c>
      <c r="C33" s="72" t="s">
        <v>138</v>
      </c>
      <c r="D33" s="140"/>
      <c r="E33" s="140"/>
      <c r="F33" s="140"/>
      <c r="G33" s="140"/>
      <c r="H33" s="140"/>
      <c r="I33" s="61" t="s">
        <v>89</v>
      </c>
      <c r="J33" s="446"/>
      <c r="K33" s="446"/>
      <c r="L33" s="446"/>
      <c r="M33" s="446"/>
      <c r="N33" s="213"/>
      <c r="O33" s="213"/>
    </row>
    <row r="34" spans="1:15" ht="13.5" thickBot="1" x14ac:dyDescent="0.25">
      <c r="A34" s="60" t="s">
        <v>139</v>
      </c>
      <c r="B34" s="73" t="s">
        <v>140</v>
      </c>
      <c r="C34" s="432">
        <f>SUM(C32:C33)</f>
        <v>0</v>
      </c>
      <c r="D34" s="432">
        <f t="shared" ref="D34:F34" si="5">SUM(D32:D33)</f>
        <v>175900</v>
      </c>
      <c r="E34" s="432">
        <f t="shared" si="5"/>
        <v>0</v>
      </c>
      <c r="F34" s="432">
        <f t="shared" si="5"/>
        <v>34806688</v>
      </c>
      <c r="G34" s="74">
        <f>SUM(G32:G33)</f>
        <v>34982588</v>
      </c>
      <c r="H34" s="74">
        <f>SUM(H32:H33)</f>
        <v>34982588</v>
      </c>
      <c r="I34" s="73" t="s">
        <v>141</v>
      </c>
      <c r="J34" s="74">
        <f>J32+J33</f>
        <v>9809466</v>
      </c>
      <c r="K34" s="74">
        <f>K32+K33</f>
        <v>677472</v>
      </c>
      <c r="L34" s="74">
        <f>L32+L33</f>
        <v>19760360</v>
      </c>
      <c r="M34" s="74">
        <f>M32+M33</f>
        <v>1999345</v>
      </c>
      <c r="N34" s="214">
        <f>+N32+N33</f>
        <v>32246643</v>
      </c>
      <c r="O34" s="214">
        <f>+O32+O33</f>
        <v>32246643</v>
      </c>
    </row>
    <row r="35" spans="1:15" ht="13.5" thickBot="1" x14ac:dyDescent="0.25">
      <c r="A35" s="60" t="s">
        <v>142</v>
      </c>
      <c r="B35" s="73" t="s">
        <v>435</v>
      </c>
      <c r="C35" s="74">
        <f>IF(C18-J18&lt;0,J18-C18,"-")</f>
        <v>9809466</v>
      </c>
      <c r="D35" s="74"/>
      <c r="E35" s="74"/>
      <c r="F35" s="74"/>
      <c r="G35" s="74" t="str">
        <f>IF(G18-N18&lt;0,N18-G18,"-")</f>
        <v>-</v>
      </c>
      <c r="H35" s="74" t="str">
        <f>IF(H18-O18&lt;0,O18-H18,"-")</f>
        <v>-</v>
      </c>
      <c r="I35" s="73" t="s">
        <v>437</v>
      </c>
      <c r="J35" s="74" t="str">
        <f>IF(C18-J18&gt;0,C18-J18,"-")</f>
        <v>-</v>
      </c>
      <c r="K35" s="74"/>
      <c r="L35" s="74"/>
      <c r="M35" s="74"/>
      <c r="N35" s="74"/>
      <c r="O35" s="74">
        <f>IF(H18-O18&gt;0,H18-O18,"-")</f>
        <v>2735945</v>
      </c>
    </row>
    <row r="36" spans="1:15" ht="13.5" thickBot="1" x14ac:dyDescent="0.25">
      <c r="A36" s="60" t="s">
        <v>143</v>
      </c>
      <c r="B36" s="73" t="s">
        <v>436</v>
      </c>
      <c r="C36" s="74">
        <f>IF(C18+C19-J32&lt;0,J32-(C18+C19),"-")</f>
        <v>9809466</v>
      </c>
      <c r="D36" s="74"/>
      <c r="E36" s="74"/>
      <c r="F36" s="74"/>
      <c r="G36" s="74" t="str">
        <f>IF(G18+G19-N32&lt;0,N32-(G18+G19),"-")</f>
        <v>-</v>
      </c>
      <c r="H36" s="74" t="str">
        <f>IF(H18+H19-O32&lt;0,O32-(H18+H19),"-")</f>
        <v>-</v>
      </c>
      <c r="I36" s="73" t="s">
        <v>438</v>
      </c>
      <c r="J36" s="74" t="str">
        <f>IF(C18+C19-J32&gt;0,C18+C19-J32,"-")</f>
        <v>-</v>
      </c>
      <c r="K36" s="74"/>
      <c r="L36" s="74"/>
      <c r="M36" s="74"/>
      <c r="N36" s="74"/>
      <c r="O36" s="74">
        <f>IF(H18+H19-O32&gt;0,H18+H19-O32,"-")</f>
        <v>2735945</v>
      </c>
    </row>
  </sheetData>
  <mergeCells count="1">
    <mergeCell ref="A3:A4"/>
  </mergeCells>
  <phoneticPr fontId="6" type="noConversion"/>
  <pageMargins left="0.7" right="0.7" top="0.48" bottom="0.27" header="0.17" footer="0.17"/>
  <pageSetup paperSize="9" scale="50" fitToHeight="0" orientation="landscape" r:id="rId1"/>
  <headerFooter>
    <oddHeader>&amp;R3b.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5"/>
  <sheetViews>
    <sheetView view="pageLayout" zoomScaleNormal="100" workbookViewId="0">
      <selection activeCell="B27" sqref="B27"/>
    </sheetView>
  </sheetViews>
  <sheetFormatPr defaultRowHeight="12.75" x14ac:dyDescent="0.2"/>
  <cols>
    <col min="1" max="1" width="8.140625" customWidth="1"/>
    <col min="2" max="2" width="41" customWidth="1"/>
    <col min="3" max="3" width="15.28515625" customWidth="1"/>
    <col min="4" max="4" width="15.5703125" customWidth="1"/>
    <col min="258" max="258" width="8.140625" customWidth="1"/>
    <col min="259" max="259" width="41" customWidth="1"/>
    <col min="260" max="260" width="32.85546875" customWidth="1"/>
    <col min="514" max="514" width="8.140625" customWidth="1"/>
    <col min="515" max="515" width="41" customWidth="1"/>
    <col min="516" max="516" width="32.85546875" customWidth="1"/>
    <col min="770" max="770" width="8.140625" customWidth="1"/>
    <col min="771" max="771" width="41" customWidth="1"/>
    <col min="772" max="772" width="32.85546875" customWidth="1"/>
    <col min="1026" max="1026" width="8.140625" customWidth="1"/>
    <col min="1027" max="1027" width="41" customWidth="1"/>
    <col min="1028" max="1028" width="32.85546875" customWidth="1"/>
    <col min="1282" max="1282" width="8.140625" customWidth="1"/>
    <col min="1283" max="1283" width="41" customWidth="1"/>
    <col min="1284" max="1284" width="32.85546875" customWidth="1"/>
    <col min="1538" max="1538" width="8.140625" customWidth="1"/>
    <col min="1539" max="1539" width="41" customWidth="1"/>
    <col min="1540" max="1540" width="32.85546875" customWidth="1"/>
    <col min="1794" max="1794" width="8.140625" customWidth="1"/>
    <col min="1795" max="1795" width="41" customWidth="1"/>
    <col min="1796" max="1796" width="32.85546875" customWidth="1"/>
    <col min="2050" max="2050" width="8.140625" customWidth="1"/>
    <col min="2051" max="2051" width="41" customWidth="1"/>
    <col min="2052" max="2052" width="32.85546875" customWidth="1"/>
    <col min="2306" max="2306" width="8.140625" customWidth="1"/>
    <col min="2307" max="2307" width="41" customWidth="1"/>
    <col min="2308" max="2308" width="32.85546875" customWidth="1"/>
    <col min="2562" max="2562" width="8.140625" customWidth="1"/>
    <col min="2563" max="2563" width="41" customWidth="1"/>
    <col min="2564" max="2564" width="32.85546875" customWidth="1"/>
    <col min="2818" max="2818" width="8.140625" customWidth="1"/>
    <col min="2819" max="2819" width="41" customWidth="1"/>
    <col min="2820" max="2820" width="32.85546875" customWidth="1"/>
    <col min="3074" max="3074" width="8.140625" customWidth="1"/>
    <col min="3075" max="3075" width="41" customWidth="1"/>
    <col min="3076" max="3076" width="32.85546875" customWidth="1"/>
    <col min="3330" max="3330" width="8.140625" customWidth="1"/>
    <col min="3331" max="3331" width="41" customWidth="1"/>
    <col min="3332" max="3332" width="32.85546875" customWidth="1"/>
    <col min="3586" max="3586" width="8.140625" customWidth="1"/>
    <col min="3587" max="3587" width="41" customWidth="1"/>
    <col min="3588" max="3588" width="32.85546875" customWidth="1"/>
    <col min="3842" max="3842" width="8.140625" customWidth="1"/>
    <col min="3843" max="3843" width="41" customWidth="1"/>
    <col min="3844" max="3844" width="32.85546875" customWidth="1"/>
    <col min="4098" max="4098" width="8.140625" customWidth="1"/>
    <col min="4099" max="4099" width="41" customWidth="1"/>
    <col min="4100" max="4100" width="32.85546875" customWidth="1"/>
    <col min="4354" max="4354" width="8.140625" customWidth="1"/>
    <col min="4355" max="4355" width="41" customWidth="1"/>
    <col min="4356" max="4356" width="32.85546875" customWidth="1"/>
    <col min="4610" max="4610" width="8.140625" customWidth="1"/>
    <col min="4611" max="4611" width="41" customWidth="1"/>
    <col min="4612" max="4612" width="32.85546875" customWidth="1"/>
    <col min="4866" max="4866" width="8.140625" customWidth="1"/>
    <col min="4867" max="4867" width="41" customWidth="1"/>
    <col min="4868" max="4868" width="32.85546875" customWidth="1"/>
    <col min="5122" max="5122" width="8.140625" customWidth="1"/>
    <col min="5123" max="5123" width="41" customWidth="1"/>
    <col min="5124" max="5124" width="32.85546875" customWidth="1"/>
    <col min="5378" max="5378" width="8.140625" customWidth="1"/>
    <col min="5379" max="5379" width="41" customWidth="1"/>
    <col min="5380" max="5380" width="32.85546875" customWidth="1"/>
    <col min="5634" max="5634" width="8.140625" customWidth="1"/>
    <col min="5635" max="5635" width="41" customWidth="1"/>
    <col min="5636" max="5636" width="32.85546875" customWidth="1"/>
    <col min="5890" max="5890" width="8.140625" customWidth="1"/>
    <col min="5891" max="5891" width="41" customWidth="1"/>
    <col min="5892" max="5892" width="32.85546875" customWidth="1"/>
    <col min="6146" max="6146" width="8.140625" customWidth="1"/>
    <col min="6147" max="6147" width="41" customWidth="1"/>
    <col min="6148" max="6148" width="32.85546875" customWidth="1"/>
    <col min="6402" max="6402" width="8.140625" customWidth="1"/>
    <col min="6403" max="6403" width="41" customWidth="1"/>
    <col min="6404" max="6404" width="32.85546875" customWidth="1"/>
    <col min="6658" max="6658" width="8.140625" customWidth="1"/>
    <col min="6659" max="6659" width="41" customWidth="1"/>
    <col min="6660" max="6660" width="32.85546875" customWidth="1"/>
    <col min="6914" max="6914" width="8.140625" customWidth="1"/>
    <col min="6915" max="6915" width="41" customWidth="1"/>
    <col min="6916" max="6916" width="32.85546875" customWidth="1"/>
    <col min="7170" max="7170" width="8.140625" customWidth="1"/>
    <col min="7171" max="7171" width="41" customWidth="1"/>
    <col min="7172" max="7172" width="32.85546875" customWidth="1"/>
    <col min="7426" max="7426" width="8.140625" customWidth="1"/>
    <col min="7427" max="7427" width="41" customWidth="1"/>
    <col min="7428" max="7428" width="32.85546875" customWidth="1"/>
    <col min="7682" max="7682" width="8.140625" customWidth="1"/>
    <col min="7683" max="7683" width="41" customWidth="1"/>
    <col min="7684" max="7684" width="32.85546875" customWidth="1"/>
    <col min="7938" max="7938" width="8.140625" customWidth="1"/>
    <col min="7939" max="7939" width="41" customWidth="1"/>
    <col min="7940" max="7940" width="32.85546875" customWidth="1"/>
    <col min="8194" max="8194" width="8.140625" customWidth="1"/>
    <col min="8195" max="8195" width="41" customWidth="1"/>
    <col min="8196" max="8196" width="32.85546875" customWidth="1"/>
    <col min="8450" max="8450" width="8.140625" customWidth="1"/>
    <col min="8451" max="8451" width="41" customWidth="1"/>
    <col min="8452" max="8452" width="32.85546875" customWidth="1"/>
    <col min="8706" max="8706" width="8.140625" customWidth="1"/>
    <col min="8707" max="8707" width="41" customWidth="1"/>
    <col min="8708" max="8708" width="32.85546875" customWidth="1"/>
    <col min="8962" max="8962" width="8.140625" customWidth="1"/>
    <col min="8963" max="8963" width="41" customWidth="1"/>
    <col min="8964" max="8964" width="32.85546875" customWidth="1"/>
    <col min="9218" max="9218" width="8.140625" customWidth="1"/>
    <col min="9219" max="9219" width="41" customWidth="1"/>
    <col min="9220" max="9220" width="32.85546875" customWidth="1"/>
    <col min="9474" max="9474" width="8.140625" customWidth="1"/>
    <col min="9475" max="9475" width="41" customWidth="1"/>
    <col min="9476" max="9476" width="32.85546875" customWidth="1"/>
    <col min="9730" max="9730" width="8.140625" customWidth="1"/>
    <col min="9731" max="9731" width="41" customWidth="1"/>
    <col min="9732" max="9732" width="32.85546875" customWidth="1"/>
    <col min="9986" max="9986" width="8.140625" customWidth="1"/>
    <col min="9987" max="9987" width="41" customWidth="1"/>
    <col min="9988" max="9988" width="32.85546875" customWidth="1"/>
    <col min="10242" max="10242" width="8.140625" customWidth="1"/>
    <col min="10243" max="10243" width="41" customWidth="1"/>
    <col min="10244" max="10244" width="32.85546875" customWidth="1"/>
    <col min="10498" max="10498" width="8.140625" customWidth="1"/>
    <col min="10499" max="10499" width="41" customWidth="1"/>
    <col min="10500" max="10500" width="32.85546875" customWidth="1"/>
    <col min="10754" max="10754" width="8.140625" customWidth="1"/>
    <col min="10755" max="10755" width="41" customWidth="1"/>
    <col min="10756" max="10756" width="32.85546875" customWidth="1"/>
    <col min="11010" max="11010" width="8.140625" customWidth="1"/>
    <col min="11011" max="11011" width="41" customWidth="1"/>
    <col min="11012" max="11012" width="32.85546875" customWidth="1"/>
    <col min="11266" max="11266" width="8.140625" customWidth="1"/>
    <col min="11267" max="11267" width="41" customWidth="1"/>
    <col min="11268" max="11268" width="32.85546875" customWidth="1"/>
    <col min="11522" max="11522" width="8.140625" customWidth="1"/>
    <col min="11523" max="11523" width="41" customWidth="1"/>
    <col min="11524" max="11524" width="32.85546875" customWidth="1"/>
    <col min="11778" max="11778" width="8.140625" customWidth="1"/>
    <col min="11779" max="11779" width="41" customWidth="1"/>
    <col min="11780" max="11780" width="32.85546875" customWidth="1"/>
    <col min="12034" max="12034" width="8.140625" customWidth="1"/>
    <col min="12035" max="12035" width="41" customWidth="1"/>
    <col min="12036" max="12036" width="32.85546875" customWidth="1"/>
    <col min="12290" max="12290" width="8.140625" customWidth="1"/>
    <col min="12291" max="12291" width="41" customWidth="1"/>
    <col min="12292" max="12292" width="32.85546875" customWidth="1"/>
    <col min="12546" max="12546" width="8.140625" customWidth="1"/>
    <col min="12547" max="12547" width="41" customWidth="1"/>
    <col min="12548" max="12548" width="32.85546875" customWidth="1"/>
    <col min="12802" max="12802" width="8.140625" customWidth="1"/>
    <col min="12803" max="12803" width="41" customWidth="1"/>
    <col min="12804" max="12804" width="32.85546875" customWidth="1"/>
    <col min="13058" max="13058" width="8.140625" customWidth="1"/>
    <col min="13059" max="13059" width="41" customWidth="1"/>
    <col min="13060" max="13060" width="32.85546875" customWidth="1"/>
    <col min="13314" max="13314" width="8.140625" customWidth="1"/>
    <col min="13315" max="13315" width="41" customWidth="1"/>
    <col min="13316" max="13316" width="32.85546875" customWidth="1"/>
    <col min="13570" max="13570" width="8.140625" customWidth="1"/>
    <col min="13571" max="13571" width="41" customWidth="1"/>
    <col min="13572" max="13572" width="32.85546875" customWidth="1"/>
    <col min="13826" max="13826" width="8.140625" customWidth="1"/>
    <col min="13827" max="13827" width="41" customWidth="1"/>
    <col min="13828" max="13828" width="32.85546875" customWidth="1"/>
    <col min="14082" max="14082" width="8.140625" customWidth="1"/>
    <col min="14083" max="14083" width="41" customWidth="1"/>
    <col min="14084" max="14084" width="32.85546875" customWidth="1"/>
    <col min="14338" max="14338" width="8.140625" customWidth="1"/>
    <col min="14339" max="14339" width="41" customWidth="1"/>
    <col min="14340" max="14340" width="32.85546875" customWidth="1"/>
    <col min="14594" max="14594" width="8.140625" customWidth="1"/>
    <col min="14595" max="14595" width="41" customWidth="1"/>
    <col min="14596" max="14596" width="32.85546875" customWidth="1"/>
    <col min="14850" max="14850" width="8.140625" customWidth="1"/>
    <col min="14851" max="14851" width="41" customWidth="1"/>
    <col min="14852" max="14852" width="32.85546875" customWidth="1"/>
    <col min="15106" max="15106" width="8.140625" customWidth="1"/>
    <col min="15107" max="15107" width="41" customWidth="1"/>
    <col min="15108" max="15108" width="32.85546875" customWidth="1"/>
    <col min="15362" max="15362" width="8.140625" customWidth="1"/>
    <col min="15363" max="15363" width="41" customWidth="1"/>
    <col min="15364" max="15364" width="32.85546875" customWidth="1"/>
    <col min="15618" max="15618" width="8.140625" customWidth="1"/>
    <col min="15619" max="15619" width="41" customWidth="1"/>
    <col min="15620" max="15620" width="32.85546875" customWidth="1"/>
    <col min="15874" max="15874" width="8.140625" customWidth="1"/>
    <col min="15875" max="15875" width="41" customWidth="1"/>
    <col min="15876" max="15876" width="32.85546875" customWidth="1"/>
    <col min="16130" max="16130" width="8.140625" customWidth="1"/>
    <col min="16131" max="16131" width="41" customWidth="1"/>
    <col min="16132" max="16132" width="32.85546875" customWidth="1"/>
  </cols>
  <sheetData>
    <row r="2" spans="1:4" x14ac:dyDescent="0.2">
      <c r="A2" s="494" t="s">
        <v>561</v>
      </c>
      <c r="B2" s="494"/>
      <c r="C2" s="494"/>
      <c r="D2" s="494"/>
    </row>
    <row r="3" spans="1:4" x14ac:dyDescent="0.2">
      <c r="A3" s="271"/>
      <c r="B3" s="271"/>
      <c r="C3" s="271"/>
      <c r="D3" s="271"/>
    </row>
    <row r="5" spans="1:4" x14ac:dyDescent="0.2">
      <c r="D5" s="270" t="s">
        <v>158</v>
      </c>
    </row>
    <row r="7" spans="1:4" ht="15.75" customHeight="1" x14ac:dyDescent="0.2">
      <c r="A7" s="492" t="s">
        <v>560</v>
      </c>
      <c r="B7" s="493"/>
      <c r="C7" s="493"/>
      <c r="D7" s="493"/>
    </row>
    <row r="8" spans="1:4" ht="17.25" customHeight="1" x14ac:dyDescent="0.2">
      <c r="A8" s="272"/>
      <c r="B8" s="272" t="s">
        <v>25</v>
      </c>
      <c r="C8" s="272" t="s">
        <v>562</v>
      </c>
      <c r="D8" s="272" t="s">
        <v>563</v>
      </c>
    </row>
    <row r="9" spans="1:4" ht="25.5" x14ac:dyDescent="0.2">
      <c r="A9" s="128" t="s">
        <v>345</v>
      </c>
      <c r="B9" s="112" t="s">
        <v>346</v>
      </c>
      <c r="C9" s="241">
        <v>104418997</v>
      </c>
      <c r="D9" s="241">
        <v>178735780</v>
      </c>
    </row>
    <row r="10" spans="1:4" ht="25.5" x14ac:dyDescent="0.2">
      <c r="A10" s="128" t="s">
        <v>347</v>
      </c>
      <c r="B10" s="112" t="s">
        <v>348</v>
      </c>
      <c r="C10" s="241">
        <v>155494844</v>
      </c>
      <c r="D10" s="241">
        <v>142680491</v>
      </c>
    </row>
    <row r="11" spans="1:4" ht="25.5" x14ac:dyDescent="0.2">
      <c r="A11" s="178" t="s">
        <v>349</v>
      </c>
      <c r="B11" s="179" t="s">
        <v>350</v>
      </c>
      <c r="C11" s="174">
        <v>-51075847</v>
      </c>
      <c r="D11" s="174">
        <f>D9-D10</f>
        <v>36055289</v>
      </c>
    </row>
    <row r="12" spans="1:4" ht="25.5" x14ac:dyDescent="0.2">
      <c r="A12" s="128" t="s">
        <v>351</v>
      </c>
      <c r="B12" s="112" t="s">
        <v>352</v>
      </c>
      <c r="C12" s="241">
        <v>85292058</v>
      </c>
      <c r="D12" s="241">
        <v>34515977</v>
      </c>
    </row>
    <row r="13" spans="1:4" ht="25.5" x14ac:dyDescent="0.2">
      <c r="A13" s="128" t="s">
        <v>277</v>
      </c>
      <c r="B13" s="112" t="s">
        <v>353</v>
      </c>
      <c r="C13" s="241">
        <v>1167757</v>
      </c>
      <c r="D13" s="241">
        <v>1173636</v>
      </c>
    </row>
    <row r="14" spans="1:4" ht="25.5" x14ac:dyDescent="0.2">
      <c r="A14" s="178" t="s">
        <v>279</v>
      </c>
      <c r="B14" s="179" t="s">
        <v>354</v>
      </c>
      <c r="C14" s="174">
        <v>84124301</v>
      </c>
      <c r="D14" s="174">
        <f>D12-D13</f>
        <v>33342341</v>
      </c>
    </row>
    <row r="15" spans="1:4" ht="25.5" x14ac:dyDescent="0.2">
      <c r="A15" s="178" t="s">
        <v>355</v>
      </c>
      <c r="B15" s="179" t="s">
        <v>356</v>
      </c>
      <c r="C15" s="174">
        <v>33048454</v>
      </c>
      <c r="D15" s="174">
        <f>D11+D14</f>
        <v>69397630</v>
      </c>
    </row>
    <row r="16" spans="1:4" x14ac:dyDescent="0.2">
      <c r="A16" s="178" t="s">
        <v>288</v>
      </c>
      <c r="B16" s="179" t="s">
        <v>357</v>
      </c>
      <c r="C16" s="174">
        <v>33048454</v>
      </c>
      <c r="D16" s="174">
        <f>D15</f>
        <v>69397630</v>
      </c>
    </row>
    <row r="17" spans="1:4" ht="38.25" x14ac:dyDescent="0.2">
      <c r="A17" s="178" t="s">
        <v>397</v>
      </c>
      <c r="B17" s="179" t="s">
        <v>398</v>
      </c>
      <c r="C17" s="174">
        <v>230434</v>
      </c>
      <c r="D17" s="174">
        <v>1399379</v>
      </c>
    </row>
    <row r="18" spans="1:4" ht="25.5" x14ac:dyDescent="0.2">
      <c r="A18" s="178" t="s">
        <v>358</v>
      </c>
      <c r="B18" s="179" t="s">
        <v>359</v>
      </c>
      <c r="C18" s="174">
        <v>32818020</v>
      </c>
      <c r="D18" s="174">
        <f>D15-D17</f>
        <v>67998251</v>
      </c>
    </row>
    <row r="25" spans="1:4" x14ac:dyDescent="0.2">
      <c r="D25" t="s">
        <v>466</v>
      </c>
    </row>
  </sheetData>
  <mergeCells count="2">
    <mergeCell ref="A7:D7"/>
    <mergeCell ref="A2:D2"/>
  </mergeCells>
  <pageMargins left="0.75" right="0.75" top="1" bottom="1" header="0.5" footer="0.5"/>
  <pageSetup orientation="portrait" r:id="rId1"/>
  <headerFooter alignWithMargins="0">
    <oddHeader>&amp;R4. melléklet</oddHeader>
    <oddFooter>&amp;C&amp;LAdatellenőrző kód: -4b-35e-72-2f13-1-1b43-e40-6e3b1137444910-7c-7&amp;R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54"/>
  <sheetViews>
    <sheetView workbookViewId="0">
      <selection activeCell="F49" sqref="F49:F50"/>
    </sheetView>
  </sheetViews>
  <sheetFormatPr defaultRowHeight="15" customHeight="1" x14ac:dyDescent="0.2"/>
  <cols>
    <col min="1" max="1" width="3" style="2" customWidth="1"/>
    <col min="2" max="2" width="54.140625" style="2" customWidth="1"/>
    <col min="3" max="3" width="7.7109375" style="17" customWidth="1"/>
    <col min="4" max="4" width="14" style="107" bestFit="1" customWidth="1"/>
    <col min="5" max="7" width="14" style="107" customWidth="1"/>
    <col min="8" max="9" width="14" style="107" bestFit="1" customWidth="1"/>
    <col min="10" max="16384" width="9.140625" style="2"/>
  </cols>
  <sheetData>
    <row r="1" spans="1:13" ht="21" customHeight="1" x14ac:dyDescent="0.2">
      <c r="A1" s="458" t="s">
        <v>469</v>
      </c>
      <c r="B1" s="458"/>
      <c r="C1" s="458"/>
      <c r="D1" s="458"/>
      <c r="E1" s="458"/>
      <c r="F1" s="458"/>
      <c r="G1" s="458"/>
      <c r="H1" s="458"/>
      <c r="I1" s="458"/>
    </row>
    <row r="2" spans="1:13" ht="18.75" customHeight="1" x14ac:dyDescent="0.2">
      <c r="A2" s="458" t="s">
        <v>31</v>
      </c>
      <c r="B2" s="458"/>
      <c r="C2" s="458"/>
      <c r="D2" s="458"/>
      <c r="E2" s="458"/>
      <c r="F2" s="458"/>
      <c r="G2" s="458"/>
      <c r="H2" s="458"/>
      <c r="I2" s="458"/>
    </row>
    <row r="3" spans="1:13" ht="15" customHeight="1" thickBot="1" x14ac:dyDescent="0.25">
      <c r="A3" s="12"/>
      <c r="B3" s="12"/>
      <c r="C3" s="18"/>
      <c r="D3" s="15"/>
      <c r="E3" s="15"/>
      <c r="F3" s="15"/>
      <c r="G3" s="15"/>
      <c r="H3" s="15"/>
      <c r="I3" s="15" t="s">
        <v>158</v>
      </c>
    </row>
    <row r="4" spans="1:13" ht="25.5" customHeight="1" x14ac:dyDescent="0.2">
      <c r="A4" s="511" t="s">
        <v>25</v>
      </c>
      <c r="B4" s="512"/>
      <c r="C4" s="515" t="s">
        <v>478</v>
      </c>
      <c r="D4" s="517" t="s">
        <v>465</v>
      </c>
      <c r="E4" s="517" t="s">
        <v>528</v>
      </c>
      <c r="F4" s="517" t="s">
        <v>487</v>
      </c>
      <c r="G4" s="517" t="s">
        <v>488</v>
      </c>
      <c r="H4" s="519" t="s">
        <v>217</v>
      </c>
      <c r="I4" s="521" t="s">
        <v>218</v>
      </c>
    </row>
    <row r="5" spans="1:13" ht="25.5" customHeight="1" thickBot="1" x14ac:dyDescent="0.25">
      <c r="A5" s="513"/>
      <c r="B5" s="514"/>
      <c r="C5" s="516"/>
      <c r="D5" s="518"/>
      <c r="E5" s="518"/>
      <c r="F5" s="518"/>
      <c r="G5" s="518"/>
      <c r="H5" s="520"/>
      <c r="I5" s="522"/>
    </row>
    <row r="6" spans="1:13" s="8" customFormat="1" ht="21" customHeight="1" x14ac:dyDescent="0.2">
      <c r="A6" s="404" t="s">
        <v>12</v>
      </c>
      <c r="B6" s="27"/>
      <c r="C6" s="27"/>
      <c r="D6" s="27"/>
      <c r="E6" s="27"/>
      <c r="F6" s="27"/>
      <c r="G6" s="27"/>
      <c r="H6" s="27"/>
      <c r="I6" s="405"/>
    </row>
    <row r="7" spans="1:13" s="12" customFormat="1" ht="18" customHeight="1" x14ac:dyDescent="0.2">
      <c r="A7" s="34" t="s">
        <v>720</v>
      </c>
      <c r="B7" s="35"/>
      <c r="C7" s="35"/>
      <c r="D7" s="35"/>
      <c r="E7" s="35"/>
      <c r="F7" s="35"/>
      <c r="G7" s="35"/>
      <c r="H7" s="35"/>
      <c r="I7" s="418"/>
    </row>
    <row r="8" spans="1:13" s="8" customFormat="1" ht="25.5" x14ac:dyDescent="0.2">
      <c r="A8" s="412" t="s">
        <v>26</v>
      </c>
      <c r="B8" s="413" t="s">
        <v>45</v>
      </c>
      <c r="C8" s="390" t="s">
        <v>554</v>
      </c>
      <c r="D8" s="411">
        <v>0</v>
      </c>
      <c r="E8" s="411">
        <v>0</v>
      </c>
      <c r="F8" s="411">
        <v>0</v>
      </c>
      <c r="G8" s="411">
        <v>0</v>
      </c>
      <c r="H8" s="411">
        <v>0</v>
      </c>
      <c r="I8" s="411">
        <v>0</v>
      </c>
    </row>
    <row r="9" spans="1:13" s="8" customFormat="1" ht="12.75" x14ac:dyDescent="0.2">
      <c r="A9" s="412" t="s">
        <v>27</v>
      </c>
      <c r="B9" s="413" t="s">
        <v>716</v>
      </c>
      <c r="C9" s="390" t="s">
        <v>540</v>
      </c>
      <c r="D9" s="411">
        <v>0</v>
      </c>
      <c r="E9" s="411">
        <v>228000</v>
      </c>
      <c r="F9" s="411">
        <v>0</v>
      </c>
      <c r="G9" s="411">
        <v>0</v>
      </c>
      <c r="H9" s="411">
        <v>228000</v>
      </c>
      <c r="I9" s="411">
        <v>228000</v>
      </c>
    </row>
    <row r="10" spans="1:13" s="8" customFormat="1" ht="12.75" x14ac:dyDescent="0.2">
      <c r="A10" s="409"/>
      <c r="B10" s="13" t="s">
        <v>717</v>
      </c>
      <c r="C10" s="165"/>
      <c r="D10" s="33">
        <v>0</v>
      </c>
      <c r="E10" s="33">
        <v>228000</v>
      </c>
      <c r="F10" s="33">
        <v>0</v>
      </c>
      <c r="G10" s="33">
        <v>0</v>
      </c>
      <c r="H10" s="33">
        <v>228000</v>
      </c>
      <c r="I10" s="33">
        <v>228000</v>
      </c>
    </row>
    <row r="11" spans="1:13" s="8" customFormat="1" ht="15" customHeight="1" x14ac:dyDescent="0.2">
      <c r="A11" s="412" t="s">
        <v>28</v>
      </c>
      <c r="B11" s="413" t="s">
        <v>718</v>
      </c>
      <c r="C11" s="390" t="s">
        <v>541</v>
      </c>
      <c r="D11" s="411">
        <f>SUM(D12:D12)</f>
        <v>140000</v>
      </c>
      <c r="E11" s="411">
        <v>0</v>
      </c>
      <c r="F11" s="411">
        <v>0</v>
      </c>
      <c r="G11" s="411">
        <v>0</v>
      </c>
      <c r="H11" s="411">
        <v>140000</v>
      </c>
      <c r="I11" s="411">
        <f>SUM(I12:I12)</f>
        <v>140000</v>
      </c>
    </row>
    <row r="12" spans="1:13" s="8" customFormat="1" ht="15" customHeight="1" x14ac:dyDescent="0.2">
      <c r="A12" s="22" t="s">
        <v>26</v>
      </c>
      <c r="B12" s="13" t="s">
        <v>439</v>
      </c>
      <c r="C12" s="30"/>
      <c r="D12" s="33">
        <v>140000</v>
      </c>
      <c r="E12" s="33">
        <v>0</v>
      </c>
      <c r="F12" s="33">
        <v>0</v>
      </c>
      <c r="G12" s="33">
        <v>0</v>
      </c>
      <c r="H12" s="33">
        <v>140000</v>
      </c>
      <c r="I12" s="33">
        <v>140000</v>
      </c>
    </row>
    <row r="13" spans="1:13" s="8" customFormat="1" ht="26.25" customHeight="1" x14ac:dyDescent="0.2">
      <c r="A13" s="412" t="s">
        <v>29</v>
      </c>
      <c r="B13" s="410" t="s">
        <v>22</v>
      </c>
      <c r="C13" s="390" t="s">
        <v>541</v>
      </c>
      <c r="D13" s="411">
        <f>SUM(D14:D17)</f>
        <v>7941085</v>
      </c>
      <c r="E13" s="411">
        <v>0</v>
      </c>
      <c r="F13" s="411">
        <v>0</v>
      </c>
      <c r="G13" s="411">
        <v>1497106</v>
      </c>
      <c r="H13" s="411">
        <f>SUM(H14:H17)</f>
        <v>9438191</v>
      </c>
      <c r="I13" s="411">
        <f>SUM(I14:I17)</f>
        <v>9438191</v>
      </c>
    </row>
    <row r="14" spans="1:13" s="8" customFormat="1" ht="22.5" customHeight="1" x14ac:dyDescent="0.2">
      <c r="A14" s="22" t="s">
        <v>26</v>
      </c>
      <c r="B14" s="7" t="s">
        <v>470</v>
      </c>
      <c r="C14" s="7"/>
      <c r="D14" s="9">
        <v>4355068</v>
      </c>
      <c r="E14" s="9">
        <v>0</v>
      </c>
      <c r="F14" s="9">
        <v>0</v>
      </c>
      <c r="G14" s="9">
        <v>773434</v>
      </c>
      <c r="H14" s="9">
        <v>5128502</v>
      </c>
      <c r="I14" s="9">
        <f>216464+497250+4414788</f>
        <v>5128502</v>
      </c>
      <c r="J14" s="16"/>
      <c r="K14" s="16"/>
      <c r="L14" s="16"/>
      <c r="M14" s="16"/>
    </row>
    <row r="15" spans="1:13" s="8" customFormat="1" ht="22.5" customHeight="1" x14ac:dyDescent="0.2">
      <c r="A15" s="22" t="s">
        <v>46</v>
      </c>
      <c r="B15" s="6" t="s">
        <v>440</v>
      </c>
      <c r="C15" s="7"/>
      <c r="D15" s="9">
        <v>2800600</v>
      </c>
      <c r="E15" s="9">
        <v>0</v>
      </c>
      <c r="F15" s="9">
        <v>0</v>
      </c>
      <c r="G15" s="9">
        <v>583672</v>
      </c>
      <c r="H15" s="9">
        <v>3384272</v>
      </c>
      <c r="I15" s="9">
        <v>3384272</v>
      </c>
    </row>
    <row r="16" spans="1:13" s="8" customFormat="1" ht="22.5" customHeight="1" x14ac:dyDescent="0.2">
      <c r="A16" s="22" t="s">
        <v>664</v>
      </c>
      <c r="B16" s="6" t="s">
        <v>441</v>
      </c>
      <c r="C16" s="7"/>
      <c r="D16" s="9">
        <v>756187</v>
      </c>
      <c r="E16" s="9">
        <v>0</v>
      </c>
      <c r="F16" s="9">
        <v>0</v>
      </c>
      <c r="G16" s="9">
        <v>140000</v>
      </c>
      <c r="H16" s="9">
        <v>896187</v>
      </c>
      <c r="I16" s="9">
        <f>-58569+954756</f>
        <v>896187</v>
      </c>
      <c r="J16" s="16"/>
    </row>
    <row r="17" spans="1:12" s="8" customFormat="1" ht="15" customHeight="1" x14ac:dyDescent="0.2">
      <c r="A17" s="22" t="s">
        <v>671</v>
      </c>
      <c r="B17" s="6" t="s">
        <v>471</v>
      </c>
      <c r="C17" s="30"/>
      <c r="D17" s="9">
        <v>29230</v>
      </c>
      <c r="E17" s="9">
        <v>0</v>
      </c>
      <c r="F17" s="9">
        <v>0</v>
      </c>
      <c r="G17" s="9">
        <v>0</v>
      </c>
      <c r="H17" s="9">
        <v>29230</v>
      </c>
      <c r="I17" s="9">
        <v>29230</v>
      </c>
    </row>
    <row r="18" spans="1:12" s="8" customFormat="1" ht="22.5" customHeight="1" x14ac:dyDescent="0.2">
      <c r="A18" s="412" t="s">
        <v>30</v>
      </c>
      <c r="B18" s="410" t="s">
        <v>44</v>
      </c>
      <c r="C18" s="390" t="s">
        <v>541</v>
      </c>
      <c r="D18" s="411">
        <f>SUM(D19:D19)</f>
        <v>57690</v>
      </c>
      <c r="E18" s="411">
        <v>0</v>
      </c>
      <c r="F18" s="411">
        <v>0</v>
      </c>
      <c r="G18" s="411">
        <v>0</v>
      </c>
      <c r="H18" s="411">
        <f>SUM(H19:H19)</f>
        <v>57690</v>
      </c>
      <c r="I18" s="411">
        <f>SUM(I19:I19)</f>
        <v>57690</v>
      </c>
    </row>
    <row r="19" spans="1:12" s="8" customFormat="1" ht="12.75" x14ac:dyDescent="0.2">
      <c r="A19" s="22" t="s">
        <v>26</v>
      </c>
      <c r="B19" s="7" t="s">
        <v>442</v>
      </c>
      <c r="C19" s="30"/>
      <c r="D19" s="9">
        <v>57690</v>
      </c>
      <c r="E19" s="9">
        <v>0</v>
      </c>
      <c r="F19" s="9">
        <v>0</v>
      </c>
      <c r="G19" s="9">
        <v>0</v>
      </c>
      <c r="H19" s="9">
        <v>57690</v>
      </c>
      <c r="I19" s="9">
        <v>57690</v>
      </c>
    </row>
    <row r="20" spans="1:12" s="8" customFormat="1" ht="23.25" customHeight="1" x14ac:dyDescent="0.2">
      <c r="A20" s="501" t="s">
        <v>719</v>
      </c>
      <c r="B20" s="502"/>
      <c r="C20" s="31"/>
      <c r="D20" s="21">
        <f>D11+D13+D18+D9</f>
        <v>8138775</v>
      </c>
      <c r="E20" s="21">
        <f t="shared" ref="E20:I20" si="0">E11+E13+E18+E9</f>
        <v>228000</v>
      </c>
      <c r="F20" s="21">
        <f t="shared" si="0"/>
        <v>0</v>
      </c>
      <c r="G20" s="21">
        <f t="shared" si="0"/>
        <v>1497106</v>
      </c>
      <c r="H20" s="21">
        <f>H11+H13+H18+H9</f>
        <v>9863881</v>
      </c>
      <c r="I20" s="21">
        <f t="shared" si="0"/>
        <v>9863881</v>
      </c>
    </row>
    <row r="21" spans="1:12" s="8" customFormat="1" ht="18.75" customHeight="1" x14ac:dyDescent="0.2">
      <c r="A21" s="505" t="s">
        <v>721</v>
      </c>
      <c r="B21" s="506"/>
      <c r="C21" s="506"/>
      <c r="D21" s="506"/>
      <c r="E21" s="506"/>
      <c r="F21" s="506"/>
      <c r="G21" s="506"/>
      <c r="H21" s="506"/>
      <c r="I21" s="507"/>
    </row>
    <row r="22" spans="1:12" s="8" customFormat="1" ht="22.5" customHeight="1" x14ac:dyDescent="0.2">
      <c r="A22" s="417" t="s">
        <v>26</v>
      </c>
      <c r="B22" s="410" t="s">
        <v>472</v>
      </c>
      <c r="C22" s="390" t="s">
        <v>548</v>
      </c>
      <c r="D22" s="416">
        <f>SUM(D23:D23)</f>
        <v>5705751</v>
      </c>
      <c r="E22" s="416">
        <v>160169</v>
      </c>
      <c r="F22" s="416">
        <v>0</v>
      </c>
      <c r="G22" s="416">
        <v>84700</v>
      </c>
      <c r="H22" s="416">
        <f>SUM(H23:H23)</f>
        <v>5950620</v>
      </c>
      <c r="I22" s="416">
        <f>SUM(I23:I23)</f>
        <v>5950620</v>
      </c>
    </row>
    <row r="23" spans="1:12" s="8" customFormat="1" ht="15" customHeight="1" x14ac:dyDescent="0.2">
      <c r="A23" s="22"/>
      <c r="B23" s="13" t="s">
        <v>473</v>
      </c>
      <c r="C23" s="30"/>
      <c r="D23" s="9">
        <v>5705751</v>
      </c>
      <c r="E23" s="9">
        <v>160169</v>
      </c>
      <c r="F23" s="9">
        <v>0</v>
      </c>
      <c r="G23" s="9">
        <v>84700</v>
      </c>
      <c r="H23" s="9">
        <v>5950620</v>
      </c>
      <c r="I23" s="9">
        <v>5950620</v>
      </c>
    </row>
    <row r="24" spans="1:12" s="8" customFormat="1" ht="21" customHeight="1" thickBot="1" x14ac:dyDescent="0.25">
      <c r="A24" s="503" t="s">
        <v>450</v>
      </c>
      <c r="B24" s="504"/>
      <c r="C24" s="28"/>
      <c r="D24" s="10">
        <f>D22</f>
        <v>5705751</v>
      </c>
      <c r="E24" s="10">
        <f t="shared" ref="E24:G24" si="1">E22</f>
        <v>160169</v>
      </c>
      <c r="F24" s="10">
        <f t="shared" si="1"/>
        <v>0</v>
      </c>
      <c r="G24" s="10">
        <f t="shared" si="1"/>
        <v>84700</v>
      </c>
      <c r="H24" s="10">
        <f>H22</f>
        <v>5950620</v>
      </c>
      <c r="I24" s="10">
        <f>I22</f>
        <v>5950620</v>
      </c>
    </row>
    <row r="25" spans="1:12" ht="18" customHeight="1" thickBot="1" x14ac:dyDescent="0.25">
      <c r="A25" s="499" t="s">
        <v>10</v>
      </c>
      <c r="B25" s="500"/>
      <c r="C25" s="32"/>
      <c r="D25" s="14">
        <f t="shared" ref="D25:I25" si="2">D20+D24</f>
        <v>13844526</v>
      </c>
      <c r="E25" s="14">
        <f t="shared" si="2"/>
        <v>388169</v>
      </c>
      <c r="F25" s="14">
        <f t="shared" si="2"/>
        <v>0</v>
      </c>
      <c r="G25" s="14">
        <f t="shared" si="2"/>
        <v>1581806</v>
      </c>
      <c r="H25" s="14">
        <f t="shared" si="2"/>
        <v>15814501</v>
      </c>
      <c r="I25" s="14">
        <f t="shared" si="2"/>
        <v>15814501</v>
      </c>
    </row>
    <row r="26" spans="1:12" ht="15" customHeight="1" thickBot="1" x14ac:dyDescent="0.25">
      <c r="A26" s="408" t="s">
        <v>13</v>
      </c>
      <c r="B26" s="406"/>
      <c r="C26" s="406"/>
      <c r="D26" s="406"/>
      <c r="E26" s="406"/>
      <c r="F26" s="406"/>
      <c r="G26" s="406"/>
      <c r="H26" s="406"/>
      <c r="I26" s="407"/>
    </row>
    <row r="27" spans="1:12" ht="15" customHeight="1" x14ac:dyDescent="0.2">
      <c r="A27" s="508" t="s">
        <v>11</v>
      </c>
      <c r="B27" s="509"/>
      <c r="C27" s="509"/>
      <c r="D27" s="509"/>
      <c r="E27" s="509"/>
      <c r="F27" s="509"/>
      <c r="G27" s="509"/>
      <c r="H27" s="509"/>
      <c r="I27" s="510"/>
    </row>
    <row r="28" spans="1:12" ht="15" customHeight="1" x14ac:dyDescent="0.2">
      <c r="A28" s="417" t="s">
        <v>26</v>
      </c>
      <c r="B28" s="394" t="s">
        <v>4</v>
      </c>
      <c r="C28" s="390" t="s">
        <v>542</v>
      </c>
      <c r="D28" s="416">
        <v>0</v>
      </c>
      <c r="E28" s="416">
        <v>0</v>
      </c>
      <c r="F28" s="416">
        <f t="shared" ref="F28:G28" si="3">SUM(F29:F29)</f>
        <v>0</v>
      </c>
      <c r="G28" s="416">
        <f t="shared" si="3"/>
        <v>0</v>
      </c>
      <c r="H28" s="416">
        <f>SUM(H29:H29)</f>
        <v>0</v>
      </c>
      <c r="I28" s="416">
        <f>SUM(I29:I29)</f>
        <v>0</v>
      </c>
    </row>
    <row r="29" spans="1:12" ht="15" customHeight="1" x14ac:dyDescent="0.2">
      <c r="A29" s="23"/>
      <c r="B29" s="184" t="s">
        <v>443</v>
      </c>
      <c r="C29" s="30"/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12" ht="15" customHeight="1" x14ac:dyDescent="0.2">
      <c r="A30" s="417" t="s">
        <v>27</v>
      </c>
      <c r="B30" s="394" t="s">
        <v>43</v>
      </c>
      <c r="C30" s="390" t="s">
        <v>542</v>
      </c>
      <c r="D30" s="416">
        <f>SUM(D31:D31)</f>
        <v>307400</v>
      </c>
      <c r="E30" s="416">
        <f>SUM(E31:E31)</f>
        <v>0</v>
      </c>
      <c r="F30" s="416">
        <f>SUM(F31:F31)</f>
        <v>0</v>
      </c>
      <c r="G30" s="416">
        <f>SUM(G31:G31)</f>
        <v>-307400</v>
      </c>
      <c r="H30" s="416">
        <v>0</v>
      </c>
      <c r="I30" s="416">
        <f>SUM(I31:I31)</f>
        <v>0</v>
      </c>
    </row>
    <row r="31" spans="1:12" ht="15" customHeight="1" x14ac:dyDescent="0.2">
      <c r="A31" s="23" t="s">
        <v>26</v>
      </c>
      <c r="B31" s="20" t="s">
        <v>722</v>
      </c>
      <c r="C31" s="30"/>
      <c r="D31" s="9">
        <v>307400</v>
      </c>
      <c r="E31" s="9"/>
      <c r="F31" s="9"/>
      <c r="G31" s="9">
        <v>-307400</v>
      </c>
      <c r="H31" s="9">
        <v>0</v>
      </c>
      <c r="I31" s="9">
        <v>0</v>
      </c>
    </row>
    <row r="32" spans="1:12" ht="15" customHeight="1" x14ac:dyDescent="0.2">
      <c r="A32" s="415" t="s">
        <v>28</v>
      </c>
      <c r="B32" s="394" t="s">
        <v>47</v>
      </c>
      <c r="C32" s="390" t="s">
        <v>542</v>
      </c>
      <c r="D32" s="416">
        <f>SUM(D33:D39)</f>
        <v>2616130</v>
      </c>
      <c r="E32" s="416">
        <f t="shared" ref="E32:F32" si="4">SUM(E33:E39)</f>
        <v>0</v>
      </c>
      <c r="F32" s="416">
        <f t="shared" si="4"/>
        <v>0</v>
      </c>
      <c r="G32" s="416">
        <f>SUM(G33:G39)</f>
        <v>192000</v>
      </c>
      <c r="H32" s="416">
        <f>SUM(H33:H39)</f>
        <v>2808130</v>
      </c>
      <c r="I32" s="416">
        <f>SUM(I33:I39)</f>
        <v>2808130</v>
      </c>
      <c r="L32" s="378"/>
    </row>
    <row r="33" spans="1:10" ht="15" customHeight="1" x14ac:dyDescent="0.2">
      <c r="A33" s="23" t="s">
        <v>26</v>
      </c>
      <c r="B33" s="20" t="s">
        <v>444</v>
      </c>
      <c r="C33" s="30"/>
      <c r="D33" s="9">
        <v>800000</v>
      </c>
      <c r="E33" s="9">
        <v>0</v>
      </c>
      <c r="F33" s="9">
        <v>0</v>
      </c>
      <c r="G33" s="9">
        <v>0</v>
      </c>
      <c r="H33" s="9">
        <v>800000</v>
      </c>
      <c r="I33" s="9">
        <v>800000</v>
      </c>
      <c r="J33" s="378"/>
    </row>
    <row r="34" spans="1:10" ht="15" customHeight="1" x14ac:dyDescent="0.2">
      <c r="A34" s="23" t="s">
        <v>27</v>
      </c>
      <c r="B34" s="20" t="s">
        <v>445</v>
      </c>
      <c r="C34" s="30"/>
      <c r="D34" s="9">
        <v>546130</v>
      </c>
      <c r="E34" s="9">
        <v>0</v>
      </c>
      <c r="F34" s="9">
        <v>0</v>
      </c>
      <c r="G34" s="9">
        <v>0</v>
      </c>
      <c r="H34" s="9">
        <v>546130</v>
      </c>
      <c r="I34" s="9">
        <v>546130</v>
      </c>
    </row>
    <row r="35" spans="1:10" ht="15" customHeight="1" x14ac:dyDescent="0.2">
      <c r="A35" s="23" t="s">
        <v>28</v>
      </c>
      <c r="B35" s="20" t="s">
        <v>446</v>
      </c>
      <c r="C35" s="30"/>
      <c r="D35" s="9">
        <v>200000</v>
      </c>
      <c r="E35" s="9">
        <v>0</v>
      </c>
      <c r="F35" s="9">
        <v>0</v>
      </c>
      <c r="G35" s="9">
        <v>0</v>
      </c>
      <c r="H35" s="9">
        <v>200000</v>
      </c>
      <c r="I35" s="9">
        <v>200000</v>
      </c>
    </row>
    <row r="36" spans="1:10" ht="15" customHeight="1" x14ac:dyDescent="0.2">
      <c r="A36" s="23" t="s">
        <v>29</v>
      </c>
      <c r="B36" s="20" t="s">
        <v>447</v>
      </c>
      <c r="C36" s="30"/>
      <c r="D36" s="9">
        <v>300000</v>
      </c>
      <c r="E36" s="9">
        <v>0</v>
      </c>
      <c r="F36" s="9">
        <v>0</v>
      </c>
      <c r="G36" s="9">
        <v>-250000</v>
      </c>
      <c r="H36" s="9">
        <v>50000</v>
      </c>
      <c r="I36" s="9">
        <v>50000</v>
      </c>
    </row>
    <row r="37" spans="1:10" ht="15" customHeight="1" x14ac:dyDescent="0.2">
      <c r="A37" s="23" t="s">
        <v>30</v>
      </c>
      <c r="B37" s="7" t="s">
        <v>448</v>
      </c>
      <c r="C37" s="30"/>
      <c r="D37" s="9">
        <v>750000</v>
      </c>
      <c r="E37" s="9">
        <v>0</v>
      </c>
      <c r="F37" s="9">
        <v>0</v>
      </c>
      <c r="G37" s="9">
        <v>450000</v>
      </c>
      <c r="H37" s="9">
        <v>1200000</v>
      </c>
      <c r="I37" s="9">
        <v>1200000</v>
      </c>
    </row>
    <row r="38" spans="1:10" ht="15" customHeight="1" x14ac:dyDescent="0.2">
      <c r="A38" s="23" t="s">
        <v>32</v>
      </c>
      <c r="B38" s="7" t="s">
        <v>455</v>
      </c>
      <c r="C38" s="30"/>
      <c r="D38" s="9">
        <v>0</v>
      </c>
      <c r="E38" s="9">
        <v>0</v>
      </c>
      <c r="F38" s="9">
        <v>0</v>
      </c>
      <c r="G38" s="9">
        <v>12000</v>
      </c>
      <c r="H38" s="9">
        <v>12000</v>
      </c>
      <c r="I38" s="9">
        <v>12000</v>
      </c>
    </row>
    <row r="39" spans="1:10" ht="15" customHeight="1" x14ac:dyDescent="0.2">
      <c r="A39" s="23" t="s">
        <v>34</v>
      </c>
      <c r="B39" s="20" t="s">
        <v>449</v>
      </c>
      <c r="C39" s="30"/>
      <c r="D39" s="9">
        <v>20000</v>
      </c>
      <c r="E39" s="9">
        <v>0</v>
      </c>
      <c r="F39" s="9">
        <v>0</v>
      </c>
      <c r="G39" s="9">
        <v>-20000</v>
      </c>
      <c r="H39" s="9">
        <v>0</v>
      </c>
      <c r="I39" s="9">
        <v>0</v>
      </c>
    </row>
    <row r="40" spans="1:10" ht="18" customHeight="1" x14ac:dyDescent="0.2">
      <c r="A40" s="501" t="s">
        <v>5</v>
      </c>
      <c r="B40" s="502"/>
      <c r="C40" s="31"/>
      <c r="D40" s="21">
        <f t="shared" ref="D40:I40" si="5">D28+D30+D32</f>
        <v>2923530</v>
      </c>
      <c r="E40" s="21">
        <f t="shared" si="5"/>
        <v>0</v>
      </c>
      <c r="F40" s="21">
        <f t="shared" si="5"/>
        <v>0</v>
      </c>
      <c r="G40" s="21">
        <f t="shared" si="5"/>
        <v>-115400</v>
      </c>
      <c r="H40" s="21">
        <f t="shared" si="5"/>
        <v>2808130</v>
      </c>
      <c r="I40" s="21">
        <f t="shared" si="5"/>
        <v>2808130</v>
      </c>
    </row>
    <row r="41" spans="1:10" ht="15" customHeight="1" x14ac:dyDescent="0.2">
      <c r="A41" s="505" t="s">
        <v>219</v>
      </c>
      <c r="B41" s="506"/>
      <c r="C41" s="506"/>
      <c r="D41" s="506"/>
      <c r="E41" s="506"/>
      <c r="F41" s="506"/>
      <c r="G41" s="506"/>
      <c r="H41" s="506"/>
      <c r="I41" s="507"/>
    </row>
    <row r="42" spans="1:10" s="12" customFormat="1" ht="15" customHeight="1" x14ac:dyDescent="0.2">
      <c r="A42" s="419" t="s">
        <v>26</v>
      </c>
      <c r="B42" s="326" t="s">
        <v>43</v>
      </c>
      <c r="C42" s="420" t="s">
        <v>551</v>
      </c>
      <c r="D42" s="421">
        <f>SUM(D43)</f>
        <v>978000</v>
      </c>
      <c r="E42" s="414">
        <v>0</v>
      </c>
      <c r="F42" s="414">
        <v>0</v>
      </c>
      <c r="G42" s="414">
        <v>6</v>
      </c>
      <c r="H42" s="421">
        <f>SUM(H43)</f>
        <v>978006</v>
      </c>
      <c r="I42" s="421">
        <f>SUM(I43)</f>
        <v>978006</v>
      </c>
    </row>
    <row r="43" spans="1:10" ht="15" customHeight="1" x14ac:dyDescent="0.2">
      <c r="A43" s="23"/>
      <c r="B43" s="20" t="s">
        <v>723</v>
      </c>
      <c r="C43" s="30"/>
      <c r="D43" s="9">
        <v>978000</v>
      </c>
      <c r="E43" s="9">
        <v>0</v>
      </c>
      <c r="F43" s="9">
        <v>0</v>
      </c>
      <c r="G43" s="9">
        <v>6</v>
      </c>
      <c r="H43" s="9">
        <v>978006</v>
      </c>
      <c r="I43" s="9">
        <v>978006</v>
      </c>
    </row>
    <row r="44" spans="1:10" ht="15" customHeight="1" thickBot="1" x14ac:dyDescent="0.25">
      <c r="A44" s="503" t="s">
        <v>220</v>
      </c>
      <c r="B44" s="504"/>
      <c r="C44" s="28"/>
      <c r="D44" s="10">
        <f>D42</f>
        <v>978000</v>
      </c>
      <c r="E44" s="10">
        <f t="shared" ref="E44:G44" si="6">E42</f>
        <v>0</v>
      </c>
      <c r="F44" s="10">
        <f t="shared" si="6"/>
        <v>0</v>
      </c>
      <c r="G44" s="10">
        <f t="shared" si="6"/>
        <v>6</v>
      </c>
      <c r="H44" s="10">
        <f>H42</f>
        <v>978006</v>
      </c>
      <c r="I44" s="10">
        <f>I42</f>
        <v>978006</v>
      </c>
    </row>
    <row r="45" spans="1:10" ht="15" customHeight="1" thickBot="1" x14ac:dyDescent="0.25">
      <c r="A45" s="24" t="s">
        <v>14</v>
      </c>
      <c r="B45" s="25"/>
      <c r="C45" s="29"/>
      <c r="D45" s="11">
        <f>D44+D40</f>
        <v>3901530</v>
      </c>
      <c r="E45" s="11">
        <f t="shared" ref="E45:F45" si="7">E44+E40</f>
        <v>0</v>
      </c>
      <c r="F45" s="11">
        <f t="shared" si="7"/>
        <v>0</v>
      </c>
      <c r="G45" s="11">
        <f>G44+G40</f>
        <v>-115394</v>
      </c>
      <c r="H45" s="11">
        <f>H44+H40</f>
        <v>3786136</v>
      </c>
      <c r="I45" s="11">
        <f>I44+I40</f>
        <v>3786136</v>
      </c>
    </row>
    <row r="46" spans="1:10" ht="20.25" customHeight="1" thickBot="1" x14ac:dyDescent="0.25">
      <c r="A46" s="499" t="s">
        <v>39</v>
      </c>
      <c r="B46" s="500"/>
      <c r="C46" s="32"/>
      <c r="D46" s="14">
        <f t="shared" ref="D46:I46" si="8">D45+D25+D8</f>
        <v>17746056</v>
      </c>
      <c r="E46" s="14">
        <f t="shared" si="8"/>
        <v>388169</v>
      </c>
      <c r="F46" s="14">
        <f t="shared" si="8"/>
        <v>0</v>
      </c>
      <c r="G46" s="14">
        <f t="shared" si="8"/>
        <v>1466412</v>
      </c>
      <c r="H46" s="14">
        <f t="shared" si="8"/>
        <v>19600637</v>
      </c>
      <c r="I46" s="14">
        <f t="shared" si="8"/>
        <v>19600637</v>
      </c>
    </row>
    <row r="52" spans="1:9" ht="15" customHeight="1" x14ac:dyDescent="0.2">
      <c r="E52" s="107" t="s">
        <v>466</v>
      </c>
    </row>
    <row r="54" spans="1:9" ht="15" customHeight="1" x14ac:dyDescent="0.2">
      <c r="A54" s="8"/>
      <c r="B54" s="8"/>
      <c r="C54" s="19"/>
      <c r="D54" s="106"/>
      <c r="E54" s="106"/>
      <c r="F54" s="106"/>
      <c r="G54" s="106"/>
      <c r="H54" s="106"/>
      <c r="I54" s="106"/>
    </row>
  </sheetData>
  <mergeCells count="19">
    <mergeCell ref="A20:B20"/>
    <mergeCell ref="A1:I1"/>
    <mergeCell ref="A2:I2"/>
    <mergeCell ref="A4:B5"/>
    <mergeCell ref="C4:C5"/>
    <mergeCell ref="D4:D5"/>
    <mergeCell ref="E4:E5"/>
    <mergeCell ref="F4:F5"/>
    <mergeCell ref="G4:G5"/>
    <mergeCell ref="H4:H5"/>
    <mergeCell ref="I4:I5"/>
    <mergeCell ref="A46:B46"/>
    <mergeCell ref="A40:B40"/>
    <mergeCell ref="A44:B44"/>
    <mergeCell ref="A25:B25"/>
    <mergeCell ref="A21:I21"/>
    <mergeCell ref="A27:I27"/>
    <mergeCell ref="A41:I41"/>
    <mergeCell ref="A24:B24"/>
  </mergeCells>
  <phoneticPr fontId="6" type="noConversion"/>
  <pageMargins left="0.95" right="0.16" top="0.34" bottom="0.19" header="0.18" footer="0.18"/>
  <pageSetup paperSize="9" scale="61" orientation="portrait" r:id="rId1"/>
  <headerFooter alignWithMargins="0">
    <oddHeader>&amp;R5. számú melléklet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</vt:i4>
      </vt:variant>
    </vt:vector>
  </HeadingPairs>
  <TitlesOfParts>
    <vt:vector size="17" baseType="lpstr">
      <vt:lpstr>1. Bevételek</vt:lpstr>
      <vt:lpstr>1.1. Bevételek(KÖT,ÖNV,Áll-i)</vt:lpstr>
      <vt:lpstr>2. Kiadások</vt:lpstr>
      <vt:lpstr>2.1. Kiadások(KÖT,ÖNV,Áll-i)</vt:lpstr>
      <vt:lpstr>3. Mérleg</vt:lpstr>
      <vt:lpstr>3a Műk.bev.kiad.mérleg</vt:lpstr>
      <vt:lpstr>3b Felhalm.bev.kiad.mérleg</vt:lpstr>
      <vt:lpstr>4. Maradványkimutatás</vt:lpstr>
      <vt:lpstr>5. Pénzeszköz átadás</vt:lpstr>
      <vt:lpstr>6.Felhalmozási k.</vt:lpstr>
      <vt:lpstr>7. létszám</vt:lpstr>
      <vt:lpstr>8. Adósságk.</vt:lpstr>
      <vt:lpstr>9.VAGYONKIMUTATÁS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DPC920</cp:lastModifiedBy>
  <cp:lastPrinted>2020-04-30T10:02:04Z</cp:lastPrinted>
  <dcterms:created xsi:type="dcterms:W3CDTF">2005-12-27T13:42:28Z</dcterms:created>
  <dcterms:modified xsi:type="dcterms:W3CDTF">2020-04-30T11:14:37Z</dcterms:modified>
</cp:coreProperties>
</file>